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2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'cashflow'!$G$15:$G$17</definedName>
    <definedName name="_xlnm.Print_Area" localSheetId="7">'cashflow'!$B$1:$K$80</definedName>
    <definedName name="_xlnm.Print_Area" localSheetId="3">'equity statement'!$A$1:$H$32</definedName>
    <definedName name="_xlnm.Print_Area" localSheetId="0">'Income statement'!$A$1:$L$65</definedName>
  </definedNames>
  <calcPr fullCalcOnLoad="1"/>
</workbook>
</file>

<file path=xl/sharedStrings.xml><?xml version="1.0" encoding="utf-8"?>
<sst xmlns="http://schemas.openxmlformats.org/spreadsheetml/2006/main" count="427" uniqueCount="273">
  <si>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</si>
  <si>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</si>
  <si>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</si>
  <si>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</si>
  <si>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</si>
  <si>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</si>
  <si>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</si>
  <si>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</si>
  <si>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</si>
  <si>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</si>
  <si>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</si>
  <si>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</si>
  <si>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</si>
  <si>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</si>
  <si>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</si>
  <si>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</si>
  <si>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</si>
  <si>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</si>
  <si>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</si>
  <si>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</si>
  <si>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</si>
  <si>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</si>
  <si>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</si>
  <si>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</si>
  <si>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</si>
  <si>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 xml:space="preserve">        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</si>
  <si>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</si>
  <si>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</si>
  <si>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</si>
  <si>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</si>
  <si>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</si>
  <si>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</si>
  <si>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</si>
  <si>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</si>
  <si>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</si>
  <si>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</si>
  <si>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</si>
  <si>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</si>
  <si>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</si>
  <si>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</si>
  <si>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</si>
  <si>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</si>
  <si>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</si>
  <si>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</si>
  <si>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</si>
  <si>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</si>
  <si>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</si>
  <si>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</si>
  <si>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</si>
  <si>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</si>
  <si>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</si>
  <si>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</si>
  <si>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</si>
  <si>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</si>
  <si>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</si>
  <si>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</si>
  <si>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</si>
  <si>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</si>
  <si>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</si>
  <si>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</si>
  <si>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</si>
  <si>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</si>
  <si>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</si>
  <si>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</si>
  <si>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</si>
  <si>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</si>
  <si>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</si>
  <si>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</si>
  <si>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</si>
  <si>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</si>
  <si>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</si>
  <si>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</si>
  <si>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</si>
  <si>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</si>
  <si>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</si>
  <si>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</si>
  <si>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</si>
  <si>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</si>
  <si>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</si>
  <si>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</si>
  <si>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</si>
  <si>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</si>
  <si>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</si>
  <si>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</si>
  <si>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</si>
  <si>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</si>
  <si>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</si>
  <si>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</si>
  <si>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</si>
  <si>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</si>
  <si>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</si>
  <si>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</si>
  <si>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</si>
  <si>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</si>
  <si>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</si>
  <si>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</si>
  <si>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</si>
  <si>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</si>
  <si>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</si>
  <si>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</si>
  <si>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</si>
  <si>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</si>
  <si>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</si>
  <si>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</si>
  <si>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</si>
  <si>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</si>
  <si>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</si>
  <si>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</si>
  <si>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</si>
  <si>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</si>
  <si>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</si>
  <si>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</si>
  <si>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</si>
  <si>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</si>
  <si>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Prepaid land lease payment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</si>
  <si>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</si>
  <si>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</si>
  <si>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</si>
  <si>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</si>
  <si>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</si>
  <si>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</si>
  <si>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</si>
  <si>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</si>
  <si>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</si>
  <si>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</si>
  <si>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</si>
  <si>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</si>
  <si>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</si>
  <si>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</si>
  <si>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</si>
  <si>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</si>
  <si>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</si>
  <si>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</si>
  <si>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</si>
  <si>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</si>
  <si>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</si>
  <si>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</si>
  <si>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</si>
  <si>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</si>
  <si>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</si>
  <si>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</si>
  <si>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</si>
  <si>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</si>
  <si>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</si>
  <si>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</si>
  <si>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</si>
  <si>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</si>
  <si>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</si>
  <si>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</si>
  <si>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</si>
  <si>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</si>
  <si>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</si>
  <si>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</si>
  <si>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</si>
  <si>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</si>
  <si>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</si>
  <si>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</si>
  <si>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r>
      <t>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</si>
  <si>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</si>
  <si>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</si>
  <si>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</si>
  <si>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</si>
  <si>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</si>
  <si>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</si>
  <si>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</si>
  <si>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</si>
  <si>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</si>
  <si>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</si>
  <si>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</si>
  <si>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</si>
  <si>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</si>
  <si>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</si>
  <si>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</si>
  <si>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</si>
  <si>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</si>
  <si>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</si>
  <si>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</si>
  <si>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</si>
  <si>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</si>
  <si>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</si>
  <si>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</si>
  <si>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</si>
  <si>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</si>
  <si>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</si>
  <si>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</si>
  <si>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</si>
  <si>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</si>
  <si>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</si>
  <si>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</si>
  <si>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</si>
  <si>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</si>
  <si>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</si>
  <si>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</si>
  <si>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</si>
  <si>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</si>
  <si>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</si>
  <si>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</si>
  <si>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</si>
  <si>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</si>
  <si>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</si>
  <si>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</si>
  <si>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</si>
  <si>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</si>
  <si>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</si>
  <si>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</si>
  <si>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</si>
  <si>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</si>
  <si>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</si>
  <si>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</si>
  <si>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</si>
  <si>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</si>
  <si>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</si>
  <si>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</si>
  <si>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</si>
  <si>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</si>
  <si>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</si>
  <si>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</si>
  <si>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</si>
  <si>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</si>
  <si>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</si>
  <si>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</si>
  <si>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</si>
  <si>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</si>
  <si>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</si>
  <si>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</si>
  <si>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</si>
  <si>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</si>
  <si>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</si>
  <si>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</si>
  <si>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</si>
  <si>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</si>
  <si>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</si>
  <si>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</si>
  <si>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</si>
  <si>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</si>
  <si>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</si>
  <si>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</si>
  <si>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30 September 2010</t>
  </si>
  <si>
    <t>Net increase/(decrease) in bills payable</t>
  </si>
  <si>
    <t>(Repayment)/Draw down of Term Loan</t>
  </si>
  <si>
    <t>31 December 2010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</si>
  <si>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</si>
  <si>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</si>
  <si>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</si>
  <si>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</si>
  <si>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</si>
  <si>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from contract customers</t>
  </si>
  <si>
    <t>Amount due to contract customers</t>
  </si>
  <si>
    <t>FOR THE FOURTH QUARTER ENDED 31 MARCH 2011</t>
  </si>
  <si>
    <t>31 March 2011</t>
  </si>
  <si>
    <t>31 March 2010</t>
  </si>
  <si>
    <t>AS AT 31 MARCH 2011</t>
  </si>
  <si>
    <t xml:space="preserve"> for the financial year ended 31 December 2010 and the accompanying notes attached to this interim financial report.</t>
  </si>
  <si>
    <t>FOR THE FIRST QUARTER ENDED 31 MARCH 2011</t>
  </si>
  <si>
    <t>Balance as at 1 Jan 2011</t>
  </si>
  <si>
    <t>Balance as at 31 March 2011</t>
  </si>
  <si>
    <t>Total comprehensive income for the year</t>
  </si>
  <si>
    <t>statements for the financial year ended 31 December 2010 and the accompanying notes attached to this interim financial report.</t>
  </si>
  <si>
    <t>FOR THE FINANCIAL YEAR ENDED 31 MARCH 2011</t>
  </si>
  <si>
    <t>Preceding year Corresponding                Period                                         31 March 2010</t>
  </si>
  <si>
    <t>(Decrease)/Increase in amount due to customers for contract works</t>
  </si>
  <si>
    <t>Income from other investment</t>
  </si>
  <si>
    <t>Period Ended                             31 March 2011</t>
  </si>
  <si>
    <t>Decrease/(Increase) in trade receivables</t>
  </si>
  <si>
    <t>(Decrease)/Increase  in trade payables</t>
  </si>
  <si>
    <t>(Decrease)/Increase in other payables and accruals</t>
  </si>
  <si>
    <t>as at 31 December 2010 divided  by the number of ordinary shares of 90,000,000.</t>
  </si>
  <si>
    <t>Excess Rights Issue</t>
  </si>
  <si>
    <t>Proceeds from Excess Rights Issue</t>
  </si>
  <si>
    <t>Proceeds from Rights Issue</t>
  </si>
  <si>
    <t>(iii)</t>
  </si>
  <si>
    <t>Rights Issue Proceeds(see note iii)</t>
  </si>
  <si>
    <t xml:space="preserve">The Rights Issue Proceeds under current liabilities as at 31st March11, were converted into share capital on 8th April 11.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</si>
</sst>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d/mmm/yyyy;@"/>
    <numFmt numFmtId="198" formatCode="[$-409]h:mm:ss\ AM/PM"/>
    <numFmt numFmtId="199" formatCode="#,##0;[Red]#,##0"/>
  </numFmts>
  <fonts count="8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justify"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5" fillId="0" borderId="14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42" applyNumberFormat="1" applyFont="1" applyAlignment="1">
      <alignment/>
    </xf>
    <xf numFmtId="16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37" fontId="5" fillId="0" borderId="12" xfId="0" applyNumberFormat="1" applyFont="1" applyBorder="1" applyAlignment="1">
      <alignment horizontal="center"/>
    </xf>
    <xf numFmtId="37" fontId="14" fillId="0" borderId="16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66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66" fontId="5" fillId="0" borderId="0" xfId="42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0" applyFont="1" applyAlignment="1">
      <alignment/>
    </xf>
    <xf numFmtId="0" fontId="52" fillId="0" borderId="0" xfId="57">
      <alignment/>
      <protection/>
    </xf>
    <xf numFmtId="0" fontId="79" fillId="0" borderId="0" xfId="57" applyFont="1">
      <alignment/>
      <protection/>
    </xf>
    <xf numFmtId="0" fontId="79" fillId="0" borderId="0" xfId="57" applyFont="1" applyAlignment="1">
      <alignment horizontal="right" vertical="top" wrapText="1"/>
      <protection/>
    </xf>
    <xf numFmtId="0" fontId="77" fillId="0" borderId="0" xfId="57" applyFont="1" applyAlignment="1">
      <alignment horizontal="right" vertical="top" wrapText="1"/>
      <protection/>
    </xf>
    <xf numFmtId="0" fontId="80" fillId="0" borderId="0" xfId="57" applyFont="1" applyAlignment="1">
      <alignment wrapText="1"/>
      <protection/>
    </xf>
    <xf numFmtId="0" fontId="77" fillId="0" borderId="0" xfId="57" applyFont="1">
      <alignment/>
      <protection/>
    </xf>
    <xf numFmtId="0" fontId="79" fillId="0" borderId="0" xfId="57" applyFont="1" applyAlignment="1">
      <alignment vertical="top" wrapText="1"/>
      <protection/>
    </xf>
    <xf numFmtId="0" fontId="77" fillId="0" borderId="0" xfId="57" applyFont="1" applyAlignment="1">
      <alignment vertical="top" wrapText="1"/>
      <protection/>
    </xf>
    <xf numFmtId="3" fontId="77" fillId="0" borderId="0" xfId="57" applyNumberFormat="1" applyFont="1" applyAlignment="1">
      <alignment horizontal="right" vertical="top" wrapText="1"/>
      <protection/>
    </xf>
    <xf numFmtId="3" fontId="77" fillId="0" borderId="10" xfId="57" applyNumberFormat="1" applyFont="1" applyBorder="1" applyAlignment="1">
      <alignment horizontal="right" vertical="top" wrapText="1"/>
      <protection/>
    </xf>
    <xf numFmtId="3" fontId="77" fillId="0" borderId="12" xfId="57" applyNumberFormat="1" applyFont="1" applyBorder="1" applyAlignment="1">
      <alignment horizontal="right" vertical="top" wrapText="1"/>
      <protection/>
    </xf>
    <xf numFmtId="0" fontId="80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66" fontId="4" fillId="0" borderId="16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37" fontId="5" fillId="0" borderId="13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7" fontId="5" fillId="0" borderId="15" xfId="0" applyNumberFormat="1" applyFont="1" applyFill="1" applyBorder="1" applyAlignment="1">
      <alignment horizontal="right"/>
    </xf>
    <xf numFmtId="166" fontId="4" fillId="0" borderId="0" xfId="42" applyNumberFormat="1" applyFont="1" applyBorder="1" applyAlignment="1">
      <alignment vertical="top" wrapText="1"/>
    </xf>
    <xf numFmtId="166" fontId="5" fillId="0" borderId="0" xfId="42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9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6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6" fontId="5" fillId="0" borderId="0" xfId="42" applyNumberFormat="1" applyFont="1" applyFill="1" applyAlignment="1">
      <alignment horizontal="right" vertical="top" wrapText="1"/>
    </xf>
    <xf numFmtId="166" fontId="5" fillId="0" borderId="11" xfId="42" applyNumberFormat="1" applyFont="1" applyFill="1" applyBorder="1" applyAlignment="1">
      <alignment horizontal="right" vertical="top" wrapText="1"/>
    </xf>
    <xf numFmtId="166" fontId="4" fillId="0" borderId="0" xfId="42" applyNumberFormat="1" applyFont="1" applyFill="1" applyAlignment="1">
      <alignment horizontal="right" vertical="top" wrapText="1"/>
    </xf>
    <xf numFmtId="166" fontId="5" fillId="0" borderId="1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horizontal="right" vertical="top" wrapText="1"/>
    </xf>
    <xf numFmtId="166" fontId="5" fillId="0" borderId="0" xfId="42" applyNumberFormat="1" applyFont="1" applyFill="1" applyAlignment="1">
      <alignment/>
    </xf>
    <xf numFmtId="166" fontId="5" fillId="0" borderId="0" xfId="42" applyNumberFormat="1" applyFont="1" applyFill="1" applyBorder="1" applyAlignment="1">
      <alignment horizontal="right" vertical="top" wrapText="1"/>
    </xf>
    <xf numFmtId="166" fontId="4" fillId="0" borderId="10" xfId="42" applyNumberFormat="1" applyFont="1" applyFill="1" applyBorder="1" applyAlignment="1">
      <alignment vertical="top" wrapText="1"/>
    </xf>
    <xf numFmtId="166" fontId="4" fillId="0" borderId="12" xfId="42" applyNumberFormat="1" applyFont="1" applyFill="1" applyBorder="1" applyAlignment="1">
      <alignment horizontal="right" vertical="top" wrapText="1"/>
    </xf>
    <xf numFmtId="166" fontId="5" fillId="0" borderId="10" xfId="42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41" fontId="5" fillId="0" borderId="0" xfId="42" applyNumberFormat="1" applyFont="1" applyBorder="1" applyAlignment="1">
      <alignment horizontal="right"/>
    </xf>
    <xf numFmtId="166" fontId="81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41" fontId="14" fillId="0" borderId="10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199" fontId="5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Administrator\Desktop\HRB%20MTHLY\HRB%20dec09\HRB%20perf12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1\HRB%20Mar%2011\HRB%20Consol%20%2003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RB%20Gp.BS,PL,Cashflow%20Q1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HRB consol"/>
      <sheetName val="P &amp; L.HOSSB"/>
      <sheetName val="CBS"/>
      <sheetName val="Bal Sheet.HOSSB"/>
      <sheetName val="cashflow.Gp"/>
      <sheetName val="cashflow state HOSSB"/>
      <sheetName val="IPO.Dec09."/>
      <sheetName val="IPO .det.1209"/>
      <sheetName val="Segment P &amp; L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 &amp;l1209r"/>
      <sheetName val="seg p &amp;l.11"/>
      <sheetName val="seg p&amp;l.10"/>
    </sheetNames>
    <sheetDataSet>
      <sheetData sheetId="20">
        <row r="19">
          <cell r="E19">
            <v>90000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66">
          <cell r="N66">
            <v>2506.04367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8">
          <cell r="Q8">
            <v>16439.149960000002</v>
          </cell>
        </row>
        <row r="13">
          <cell r="Q13">
            <v>-9507.23023</v>
          </cell>
        </row>
        <row r="16">
          <cell r="Q16">
            <v>431.12114</v>
          </cell>
        </row>
        <row r="18">
          <cell r="Q18">
            <v>-3932.2308800000005</v>
          </cell>
        </row>
        <row r="19">
          <cell r="Q19">
            <v>-787.9263100000001</v>
          </cell>
        </row>
        <row r="20">
          <cell r="Q20">
            <v>-1027.3924200000001</v>
          </cell>
        </row>
        <row r="25">
          <cell r="Q25">
            <v>-405.10801000000004</v>
          </cell>
        </row>
        <row r="27">
          <cell r="Q27">
            <v>-206.28323</v>
          </cell>
        </row>
        <row r="67">
          <cell r="Q67">
            <v>28257.533550000004</v>
          </cell>
        </row>
        <row r="68">
          <cell r="Q68">
            <v>2459</v>
          </cell>
        </row>
        <row r="73">
          <cell r="Q73">
            <v>373.96898999999996</v>
          </cell>
        </row>
        <row r="77">
          <cell r="Q77">
            <v>6727.202300000001</v>
          </cell>
        </row>
        <row r="78">
          <cell r="Q78">
            <v>0</v>
          </cell>
        </row>
        <row r="79">
          <cell r="Q79">
            <v>18083.335659999993</v>
          </cell>
        </row>
        <row r="80">
          <cell r="Q80">
            <v>23897.656070000005</v>
          </cell>
        </row>
        <row r="81">
          <cell r="Q81">
            <v>12.948</v>
          </cell>
        </row>
        <row r="82">
          <cell r="Q82">
            <v>5607.36793</v>
          </cell>
        </row>
        <row r="83">
          <cell r="Q83">
            <v>72</v>
          </cell>
        </row>
        <row r="84">
          <cell r="Q84">
            <v>31226.074559999997</v>
          </cell>
        </row>
        <row r="85">
          <cell r="Q85">
            <v>27174.720460000004</v>
          </cell>
        </row>
        <row r="98">
          <cell r="Q98">
            <v>45000</v>
          </cell>
        </row>
        <row r="100">
          <cell r="Q100">
            <v>1550</v>
          </cell>
        </row>
        <row r="101">
          <cell r="Q101">
            <v>24840.27854</v>
          </cell>
        </row>
        <row r="104">
          <cell r="Q104">
            <v>3.2845999999999993</v>
          </cell>
        </row>
        <row r="109">
          <cell r="Q109">
            <v>128</v>
          </cell>
        </row>
        <row r="110">
          <cell r="Q110">
            <v>22227.9445</v>
          </cell>
        </row>
        <row r="111">
          <cell r="Q111">
            <v>1978.5</v>
          </cell>
        </row>
        <row r="113">
          <cell r="Q113">
            <v>22987.616690000003</v>
          </cell>
        </row>
        <row r="114">
          <cell r="Q114">
            <v>1718</v>
          </cell>
        </row>
        <row r="115">
          <cell r="Q115">
            <v>9718.570240000001</v>
          </cell>
        </row>
        <row r="116">
          <cell r="Q116">
            <v>2756.33952</v>
          </cell>
        </row>
        <row r="117">
          <cell r="Q117">
            <v>191.86699</v>
          </cell>
        </row>
        <row r="118">
          <cell r="Q118">
            <v>10973.389599999999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U8">
            <v>1210.732</v>
          </cell>
        </row>
        <row r="20">
          <cell r="V20">
            <v>1216.41818</v>
          </cell>
        </row>
        <row r="24">
          <cell r="U24">
            <v>-1532.5723000000007</v>
          </cell>
        </row>
        <row r="25">
          <cell r="U25">
            <v>-3971.7166599999928</v>
          </cell>
        </row>
        <row r="26">
          <cell r="U26">
            <v>5044.761929999992</v>
          </cell>
        </row>
        <row r="27">
          <cell r="U27">
            <v>2212.226</v>
          </cell>
        </row>
        <row r="28">
          <cell r="U28">
            <v>-1674.8489300000003</v>
          </cell>
        </row>
        <row r="32">
          <cell r="U32">
            <v>-874.8017599999988</v>
          </cell>
        </row>
        <row r="33">
          <cell r="U33">
            <v>-1538.989</v>
          </cell>
        </row>
        <row r="34">
          <cell r="U34">
            <v>-268.45048</v>
          </cell>
        </row>
        <row r="39">
          <cell r="U39">
            <v>-177.24102</v>
          </cell>
        </row>
        <row r="41">
          <cell r="U41">
            <v>-67.24367</v>
          </cell>
        </row>
        <row r="43">
          <cell r="U43">
            <v>-206</v>
          </cell>
        </row>
        <row r="49">
          <cell r="U49">
            <v>60.82105</v>
          </cell>
        </row>
        <row r="50">
          <cell r="U50">
            <v>135</v>
          </cell>
        </row>
        <row r="53">
          <cell r="U53">
            <v>-660.8211999999993</v>
          </cell>
        </row>
        <row r="54">
          <cell r="U54">
            <v>-240.00294999999824</v>
          </cell>
        </row>
        <row r="60">
          <cell r="U60">
            <v>1003</v>
          </cell>
        </row>
        <row r="61">
          <cell r="U61">
            <v>-4.472270000000001</v>
          </cell>
        </row>
        <row r="62">
          <cell r="U62">
            <v>-237.65965</v>
          </cell>
        </row>
        <row r="63">
          <cell r="U63">
            <v>-25</v>
          </cell>
        </row>
        <row r="64">
          <cell r="U64">
            <v>-1436.3525</v>
          </cell>
        </row>
        <row r="65">
          <cell r="U65">
            <v>31200</v>
          </cell>
        </row>
        <row r="67">
          <cell r="U67">
            <v>0</v>
          </cell>
        </row>
        <row r="69">
          <cell r="U69">
            <v>0</v>
          </cell>
        </row>
        <row r="76">
          <cell r="U76">
            <v>20570.722</v>
          </cell>
        </row>
        <row r="84">
          <cell r="U84">
            <v>11967.801199999998</v>
          </cell>
        </row>
        <row r="85">
          <cell r="U85">
            <v>58375</v>
          </cell>
        </row>
        <row r="86">
          <cell r="U86">
            <v>-4730.3895999999995</v>
          </cell>
        </row>
        <row r="88">
          <cell r="U88">
            <v>-11967.801199999998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pane xSplit="2" ySplit="13" topLeftCell="E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53" sqref="J53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4" width="20.7109375" style="0" hidden="1" customWidth="1"/>
    <col min="5" max="5" width="4.140625" style="0" customWidth="1"/>
    <col min="6" max="7" width="20.7109375" style="0" customWidth="1"/>
    <col min="8" max="8" width="3.7109375" style="0" customWidth="1"/>
    <col min="9" max="10" width="22.140625" style="0" customWidth="1"/>
    <col min="11" max="11" width="4.140625" style="0" customWidth="1"/>
    <col min="12" max="12" width="16.57421875" style="0" customWidth="1"/>
    <col min="13" max="13" width="5.8515625" style="0" hidden="1" customWidth="1"/>
    <col min="14" max="14" width="5.7109375" style="0" hidden="1" customWidth="1"/>
    <col min="15" max="15" width="17.28125" style="0" hidden="1" customWidth="1"/>
    <col min="16" max="18" width="9.140625" style="0" hidden="1" customWidth="1"/>
    <col min="19" max="21" width="0" style="0" hidden="1" customWidth="1"/>
  </cols>
  <sheetData>
    <row r="1" ht="20.25">
      <c r="B1" s="6" t="s">
        <v>125</v>
      </c>
    </row>
    <row r="2" ht="12.75">
      <c r="B2" s="2"/>
    </row>
    <row r="3" s="51" customFormat="1" ht="15">
      <c r="B3" s="16" t="s">
        <v>221</v>
      </c>
    </row>
    <row r="4" spans="2:11" s="51" customFormat="1" ht="15">
      <c r="B4" s="16" t="s">
        <v>248</v>
      </c>
      <c r="K4" s="88"/>
    </row>
    <row r="5" spans="2:11" s="51" customFormat="1" ht="15">
      <c r="B5" s="89"/>
      <c r="K5" s="88"/>
    </row>
    <row r="6" spans="2:11" s="51" customFormat="1" ht="21" thickBot="1">
      <c r="B6" s="16"/>
      <c r="G6" s="193"/>
      <c r="I6" s="126"/>
      <c r="J6" s="193"/>
      <c r="K6" s="88"/>
    </row>
    <row r="7" spans="3:11" s="51" customFormat="1" ht="15.75" thickBot="1">
      <c r="C7" s="237" t="s">
        <v>86</v>
      </c>
      <c r="D7" s="238"/>
      <c r="E7" s="185"/>
      <c r="F7" s="237" t="s">
        <v>86</v>
      </c>
      <c r="G7" s="238"/>
      <c r="I7" s="237" t="s">
        <v>127</v>
      </c>
      <c r="J7" s="238"/>
      <c r="K7" s="60"/>
    </row>
    <row r="8" spans="3:11" s="51" customFormat="1" ht="12.75" customHeight="1">
      <c r="C8" s="239" t="s">
        <v>141</v>
      </c>
      <c r="D8" s="239" t="s">
        <v>157</v>
      </c>
      <c r="E8" s="56"/>
      <c r="F8" s="239" t="s">
        <v>141</v>
      </c>
      <c r="G8" s="239" t="s">
        <v>236</v>
      </c>
      <c r="H8" s="55"/>
      <c r="I8" s="239" t="s">
        <v>241</v>
      </c>
      <c r="J8" s="239" t="s">
        <v>235</v>
      </c>
      <c r="K8" s="60"/>
    </row>
    <row r="9" spans="3:11" s="51" customFormat="1" ht="15">
      <c r="C9" s="240"/>
      <c r="D9" s="240"/>
      <c r="E9" s="56"/>
      <c r="F9" s="240"/>
      <c r="G9" s="241"/>
      <c r="H9" s="55"/>
      <c r="I9" s="240"/>
      <c r="J9" s="241"/>
      <c r="K9" s="60"/>
    </row>
    <row r="10" spans="3:11" s="51" customFormat="1" ht="15">
      <c r="C10" s="240"/>
      <c r="D10" s="240"/>
      <c r="E10" s="56"/>
      <c r="F10" s="240"/>
      <c r="G10" s="241"/>
      <c r="H10" s="55"/>
      <c r="I10" s="240"/>
      <c r="J10" s="241"/>
      <c r="K10" s="60"/>
    </row>
    <row r="11" spans="3:11" s="51" customFormat="1" ht="31.5" customHeight="1">
      <c r="C11" s="240"/>
      <c r="D11" s="240"/>
      <c r="E11" s="56"/>
      <c r="F11" s="240"/>
      <c r="G11" s="241"/>
      <c r="H11" s="55"/>
      <c r="I11" s="240"/>
      <c r="J11" s="241"/>
      <c r="K11" s="60"/>
    </row>
    <row r="12" spans="3:15" s="51" customFormat="1" ht="15">
      <c r="C12" s="57" t="s">
        <v>237</v>
      </c>
      <c r="D12" s="57" t="s">
        <v>142</v>
      </c>
      <c r="E12" s="57"/>
      <c r="F12" s="57" t="s">
        <v>249</v>
      </c>
      <c r="G12" s="57" t="s">
        <v>250</v>
      </c>
      <c r="H12" s="58"/>
      <c r="I12" s="57" t="s">
        <v>249</v>
      </c>
      <c r="J12" s="57" t="s">
        <v>250</v>
      </c>
      <c r="K12" s="60"/>
      <c r="O12" s="132" t="s">
        <v>142</v>
      </c>
    </row>
    <row r="13" spans="3:15" s="51" customFormat="1" ht="15">
      <c r="C13" s="58" t="s">
        <v>0</v>
      </c>
      <c r="D13" s="58" t="s">
        <v>0</v>
      </c>
      <c r="E13" s="58"/>
      <c r="F13" s="58" t="s">
        <v>0</v>
      </c>
      <c r="G13" s="58" t="s">
        <v>0</v>
      </c>
      <c r="H13" s="58"/>
      <c r="I13" s="58" t="s">
        <v>0</v>
      </c>
      <c r="J13" s="58" t="s">
        <v>0</v>
      </c>
      <c r="K13" s="60"/>
      <c r="O13" s="105" t="s">
        <v>0</v>
      </c>
    </row>
    <row r="14" spans="4:15" s="51" customFormat="1" ht="15">
      <c r="D14" s="58"/>
      <c r="E14" s="58"/>
      <c r="F14" s="58"/>
      <c r="G14" s="58"/>
      <c r="H14" s="58"/>
      <c r="J14" s="58"/>
      <c r="O14" s="105"/>
    </row>
    <row r="15" spans="2:15" s="51" customFormat="1" ht="15">
      <c r="B15" s="16" t="s">
        <v>1</v>
      </c>
      <c r="C15" s="136">
        <v>70743</v>
      </c>
      <c r="D15" s="59">
        <v>23671</v>
      </c>
      <c r="E15" s="59"/>
      <c r="F15" s="133">
        <f>'[6]1conso-YTD'!$Q$8</f>
        <v>16439.149960000002</v>
      </c>
      <c r="G15" s="133">
        <v>17123</v>
      </c>
      <c r="H15" s="59"/>
      <c r="I15" s="133">
        <f>F15</f>
        <v>16439.149960000002</v>
      </c>
      <c r="J15" s="133">
        <f>G15</f>
        <v>17123</v>
      </c>
      <c r="K15" s="60"/>
      <c r="O15" s="105">
        <v>23670.793759999993</v>
      </c>
    </row>
    <row r="16" spans="3:15" s="51" customFormat="1" ht="14.25">
      <c r="C16" s="137"/>
      <c r="D16" s="59"/>
      <c r="E16" s="59"/>
      <c r="F16" s="133"/>
      <c r="G16" s="133"/>
      <c r="H16" s="59"/>
      <c r="I16" s="133"/>
      <c r="J16" s="133"/>
      <c r="K16" s="60"/>
      <c r="O16" s="105"/>
    </row>
    <row r="17" spans="2:15" s="51" customFormat="1" ht="14.25">
      <c r="B17" s="51" t="s">
        <v>32</v>
      </c>
      <c r="C17" s="136">
        <v>-38234</v>
      </c>
      <c r="D17" s="59">
        <v>-11785</v>
      </c>
      <c r="E17" s="59"/>
      <c r="F17" s="133">
        <f>'[6]1conso-YTD'!$Q$13</f>
        <v>-9507.23023</v>
      </c>
      <c r="G17" s="133">
        <v>-8296</v>
      </c>
      <c r="H17" s="59"/>
      <c r="I17" s="133">
        <f>F17</f>
        <v>-9507.23023</v>
      </c>
      <c r="J17" s="133">
        <f>G17</f>
        <v>-8296</v>
      </c>
      <c r="K17" s="60"/>
      <c r="O17" s="105">
        <v>-11784.867779999999</v>
      </c>
    </row>
    <row r="18" spans="2:15" s="51" customFormat="1" ht="14.25">
      <c r="B18" s="60"/>
      <c r="C18" s="138"/>
      <c r="D18" s="61"/>
      <c r="E18" s="184"/>
      <c r="F18" s="186"/>
      <c r="G18" s="186"/>
      <c r="H18" s="59"/>
      <c r="I18" s="143"/>
      <c r="J18" s="186"/>
      <c r="K18" s="60"/>
      <c r="O18" s="105"/>
    </row>
    <row r="19" spans="2:17" s="51" customFormat="1" ht="15">
      <c r="B19" s="63" t="s">
        <v>33</v>
      </c>
      <c r="C19" s="137">
        <f>+C15+C17</f>
        <v>32509</v>
      </c>
      <c r="D19" s="59">
        <f>+D15+D17</f>
        <v>11886</v>
      </c>
      <c r="E19" s="59"/>
      <c r="F19" s="133">
        <f>SUM(F15:F18)</f>
        <v>6931.919730000003</v>
      </c>
      <c r="G19" s="133">
        <f>SUM(G15:G18)</f>
        <v>8827</v>
      </c>
      <c r="H19" s="59"/>
      <c r="I19" s="133">
        <f>+I15+I17</f>
        <v>6931.919730000003</v>
      </c>
      <c r="J19" s="234">
        <f>SUM(J15:J17)</f>
        <v>8827</v>
      </c>
      <c r="K19" s="60"/>
      <c r="M19" s="147">
        <f>C19/C15</f>
        <v>0.45953663259969185</v>
      </c>
      <c r="N19" s="147">
        <f>I19/I15</f>
        <v>0.42167142138534286</v>
      </c>
      <c r="O19" s="105">
        <v>11885.925979999995</v>
      </c>
      <c r="Q19" s="63" t="s">
        <v>33</v>
      </c>
    </row>
    <row r="20" spans="3:15" s="51" customFormat="1" ht="14.25">
      <c r="C20" s="139"/>
      <c r="D20" s="65"/>
      <c r="E20" s="65"/>
      <c r="F20" s="142"/>
      <c r="G20" s="142"/>
      <c r="H20" s="59"/>
      <c r="I20" s="142"/>
      <c r="J20" s="142"/>
      <c r="K20" s="60"/>
      <c r="O20" s="105"/>
    </row>
    <row r="21" spans="2:17" s="51" customFormat="1" ht="12.75" customHeight="1">
      <c r="B21" s="51" t="s">
        <v>51</v>
      </c>
      <c r="C21" s="136">
        <v>1474</v>
      </c>
      <c r="D21" s="65">
        <v>1359</v>
      </c>
      <c r="E21" s="65"/>
      <c r="F21" s="142">
        <f>'[6]1conso-YTD'!$Q$16</f>
        <v>431.12114</v>
      </c>
      <c r="G21" s="133">
        <v>263</v>
      </c>
      <c r="H21" s="59"/>
      <c r="I21" s="133">
        <f aca="true" t="shared" si="0" ref="I21:I27">F21</f>
        <v>431.12114</v>
      </c>
      <c r="J21" s="133">
        <f aca="true" t="shared" si="1" ref="J21:J27">G21</f>
        <v>263</v>
      </c>
      <c r="K21" s="90"/>
      <c r="O21" s="105">
        <v>1358.941480000004</v>
      </c>
      <c r="Q21" s="51" t="s">
        <v>51</v>
      </c>
    </row>
    <row r="22" spans="3:15" s="51" customFormat="1" ht="12.75" customHeight="1">
      <c r="C22" s="136"/>
      <c r="D22" s="65"/>
      <c r="E22" s="65"/>
      <c r="F22" s="142"/>
      <c r="G22" s="133"/>
      <c r="H22" s="59"/>
      <c r="I22" s="133"/>
      <c r="J22" s="133"/>
      <c r="K22" s="90"/>
      <c r="O22" s="105"/>
    </row>
    <row r="23" spans="2:17" s="51" customFormat="1" ht="12.75" customHeight="1">
      <c r="B23" s="51" t="s">
        <v>139</v>
      </c>
      <c r="C23" s="136">
        <f>-12670-980</f>
        <v>-13650</v>
      </c>
      <c r="D23" s="65">
        <v>-4047</v>
      </c>
      <c r="E23" s="65"/>
      <c r="F23" s="142">
        <f>'[6]1conso-YTD'!$Q$18+'[6]1conso-YTD'!$Q$19</f>
        <v>-4720.157190000001</v>
      </c>
      <c r="G23" s="133">
        <v>-4126</v>
      </c>
      <c r="H23" s="59"/>
      <c r="I23" s="133">
        <f t="shared" si="0"/>
        <v>-4720.157190000001</v>
      </c>
      <c r="J23" s="133">
        <f t="shared" si="1"/>
        <v>-4126</v>
      </c>
      <c r="K23" s="90"/>
      <c r="O23" s="105">
        <v>-4046.5124700000015</v>
      </c>
      <c r="Q23" s="51" t="s">
        <v>139</v>
      </c>
    </row>
    <row r="24" spans="3:15" s="51" customFormat="1" ht="12.75" customHeight="1">
      <c r="C24" s="136"/>
      <c r="D24" s="65"/>
      <c r="E24" s="65"/>
      <c r="F24" s="142"/>
      <c r="G24" s="142"/>
      <c r="H24" s="59"/>
      <c r="I24" s="133"/>
      <c r="J24" s="133"/>
      <c r="K24" s="90"/>
      <c r="O24" s="105"/>
    </row>
    <row r="25" spans="2:17" s="51" customFormat="1" ht="12.75" customHeight="1">
      <c r="B25" s="51" t="s">
        <v>138</v>
      </c>
      <c r="C25" s="136">
        <v>-2674</v>
      </c>
      <c r="D25" s="65">
        <v>-682</v>
      </c>
      <c r="E25" s="65"/>
      <c r="F25" s="142">
        <f>'[6]1conso-YTD'!$Q$20</f>
        <v>-1027.3924200000001</v>
      </c>
      <c r="G25" s="133">
        <v>-895</v>
      </c>
      <c r="H25" s="59"/>
      <c r="I25" s="133">
        <f t="shared" si="0"/>
        <v>-1027.3924200000001</v>
      </c>
      <c r="J25" s="133">
        <f t="shared" si="1"/>
        <v>-895</v>
      </c>
      <c r="K25" s="90"/>
      <c r="O25" s="105">
        <v>-681.92669</v>
      </c>
      <c r="Q25" s="51" t="s">
        <v>138</v>
      </c>
    </row>
    <row r="26" spans="2:17" s="51" customFormat="1" ht="14.25">
      <c r="B26" s="66"/>
      <c r="C26" s="136"/>
      <c r="D26" s="65"/>
      <c r="E26" s="65"/>
      <c r="F26" s="142"/>
      <c r="G26" s="133"/>
      <c r="H26" s="59"/>
      <c r="I26" s="133"/>
      <c r="J26" s="133"/>
      <c r="K26" s="60"/>
      <c r="O26" s="105"/>
      <c r="Q26" s="66"/>
    </row>
    <row r="27" spans="2:17" s="51" customFormat="1" ht="14.25">
      <c r="B27" s="51" t="s">
        <v>52</v>
      </c>
      <c r="C27" s="136">
        <v>-1853</v>
      </c>
      <c r="D27" s="65">
        <v>-938</v>
      </c>
      <c r="E27" s="65"/>
      <c r="F27" s="142">
        <f>'[6]1conso-YTD'!$Q$25</f>
        <v>-405.10801000000004</v>
      </c>
      <c r="G27" s="133">
        <v>-406</v>
      </c>
      <c r="H27" s="65"/>
      <c r="I27" s="133">
        <f t="shared" si="0"/>
        <v>-405.10801000000004</v>
      </c>
      <c r="J27" s="133">
        <f t="shared" si="1"/>
        <v>-406</v>
      </c>
      <c r="K27" s="60"/>
      <c r="O27" s="105">
        <v>-937.79819</v>
      </c>
      <c r="Q27" s="51" t="s">
        <v>52</v>
      </c>
    </row>
    <row r="28" spans="3:15" s="51" customFormat="1" ht="14.25">
      <c r="C28" s="140"/>
      <c r="D28" s="62"/>
      <c r="E28" s="65"/>
      <c r="F28" s="143"/>
      <c r="G28" s="143"/>
      <c r="H28" s="59"/>
      <c r="I28" s="143"/>
      <c r="J28" s="143"/>
      <c r="K28" s="90"/>
      <c r="O28" s="105"/>
    </row>
    <row r="29" spans="2:18" s="51" customFormat="1" ht="15">
      <c r="B29" s="16" t="s">
        <v>130</v>
      </c>
      <c r="C29" s="137">
        <f>SUM(C19:C27)</f>
        <v>15806</v>
      </c>
      <c r="D29" s="59">
        <f>SUM(D19:D27)</f>
        <v>7578</v>
      </c>
      <c r="E29" s="59"/>
      <c r="F29" s="133">
        <f>SUM(F19:F28)+1</f>
        <v>1211.3832500000026</v>
      </c>
      <c r="G29" s="133">
        <f>SUM(G19:G28)</f>
        <v>3663</v>
      </c>
      <c r="H29" s="59"/>
      <c r="I29" s="133">
        <f>SUM(I19:I27)+1</f>
        <v>1211.3832500000026</v>
      </c>
      <c r="J29" s="133">
        <f>SUM(J19:J28)</f>
        <v>3663</v>
      </c>
      <c r="K29" s="60"/>
      <c r="M29" s="147">
        <f>C29/C15</f>
        <v>0.22342846642070593</v>
      </c>
      <c r="N29" s="147">
        <f>I29/I15</f>
        <v>0.07368892266008639</v>
      </c>
      <c r="O29" s="105">
        <v>7577.630109999996</v>
      </c>
      <c r="Q29" s="16" t="s">
        <v>130</v>
      </c>
      <c r="R29" s="119"/>
    </row>
    <row r="30" spans="3:15" s="51" customFormat="1" ht="14.25">
      <c r="C30" s="137"/>
      <c r="D30" s="59"/>
      <c r="E30" s="59"/>
      <c r="F30" s="133"/>
      <c r="G30" s="133"/>
      <c r="H30" s="59"/>
      <c r="I30" s="133"/>
      <c r="J30" s="133"/>
      <c r="K30" s="60"/>
      <c r="O30" s="105"/>
    </row>
    <row r="31" spans="2:17" s="51" customFormat="1" ht="14.25">
      <c r="B31" s="51" t="s">
        <v>34</v>
      </c>
      <c r="C31" s="136">
        <v>-3414</v>
      </c>
      <c r="D31" s="65">
        <v>-1821</v>
      </c>
      <c r="E31" s="65"/>
      <c r="F31" s="142">
        <f>'[6]1conso-YTD'!$Q$27</f>
        <v>-206.28323</v>
      </c>
      <c r="G31" s="133">
        <v>-832</v>
      </c>
      <c r="H31" s="59"/>
      <c r="I31" s="133">
        <f>F31</f>
        <v>-206.28323</v>
      </c>
      <c r="J31" s="133">
        <f>G31</f>
        <v>-832</v>
      </c>
      <c r="K31" s="60"/>
      <c r="O31" s="105">
        <v>-1821.0964013993403</v>
      </c>
      <c r="Q31" s="51" t="s">
        <v>34</v>
      </c>
    </row>
    <row r="32" spans="3:15" s="51" customFormat="1" ht="14.25">
      <c r="C32" s="140"/>
      <c r="D32" s="62"/>
      <c r="E32" s="65"/>
      <c r="F32" s="142"/>
      <c r="G32" s="142"/>
      <c r="H32" s="59"/>
      <c r="I32" s="143"/>
      <c r="J32" s="143"/>
      <c r="K32" s="90"/>
      <c r="O32" s="105"/>
    </row>
    <row r="33" spans="2:17" s="51" customFormat="1" ht="15.75" thickBot="1">
      <c r="B33" s="16" t="s">
        <v>131</v>
      </c>
      <c r="C33" s="141">
        <f>SUM(C29:C32)</f>
        <v>12392</v>
      </c>
      <c r="D33" s="67">
        <f>SUM(D29:D32)</f>
        <v>5757</v>
      </c>
      <c r="E33" s="65"/>
      <c r="F33" s="134">
        <f>SUM(F29:F32)</f>
        <v>1005.1000200000026</v>
      </c>
      <c r="G33" s="134">
        <f>SUM(G29:G32)</f>
        <v>2831</v>
      </c>
      <c r="H33" s="59"/>
      <c r="I33" s="134">
        <f>SUM(I29:I32)</f>
        <v>1005.1000200000026</v>
      </c>
      <c r="J33" s="134">
        <f>SUM(J29:J32)</f>
        <v>2831</v>
      </c>
      <c r="K33" s="60"/>
      <c r="M33" s="147">
        <f>C33/C15</f>
        <v>0.17516927469855675</v>
      </c>
      <c r="N33" s="147">
        <f>I33/I15</f>
        <v>0.061140632115749764</v>
      </c>
      <c r="O33" s="105">
        <v>5756.533708600657</v>
      </c>
      <c r="Q33" s="16" t="s">
        <v>131</v>
      </c>
    </row>
    <row r="34" spans="2:17" s="51" customFormat="1" ht="15.75" thickTop="1">
      <c r="B34" s="16"/>
      <c r="C34" s="139"/>
      <c r="D34" s="65"/>
      <c r="E34" s="65"/>
      <c r="F34" s="142"/>
      <c r="G34" s="142"/>
      <c r="H34" s="59"/>
      <c r="I34" s="142"/>
      <c r="J34" s="142"/>
      <c r="K34" s="60"/>
      <c r="M34" s="147"/>
      <c r="N34" s="147"/>
      <c r="O34" s="105"/>
      <c r="Q34" s="16"/>
    </row>
    <row r="35" spans="2:17" s="51" customFormat="1" ht="15">
      <c r="B35" s="16" t="s">
        <v>222</v>
      </c>
      <c r="C35" s="139">
        <v>0</v>
      </c>
      <c r="D35" s="65">
        <v>0</v>
      </c>
      <c r="E35" s="65"/>
      <c r="F35" s="200">
        <f>I35-C35</f>
        <v>0</v>
      </c>
      <c r="G35" s="200">
        <v>0</v>
      </c>
      <c r="H35" s="201"/>
      <c r="I35" s="200">
        <v>0</v>
      </c>
      <c r="J35" s="200">
        <f>G35</f>
        <v>0</v>
      </c>
      <c r="K35" s="60"/>
      <c r="M35" s="147"/>
      <c r="N35" s="147"/>
      <c r="O35" s="105"/>
      <c r="Q35" s="16"/>
    </row>
    <row r="36" spans="2:17" s="51" customFormat="1" ht="15">
      <c r="B36" s="16"/>
      <c r="C36" s="139"/>
      <c r="D36" s="65"/>
      <c r="E36" s="65"/>
      <c r="F36" s="200"/>
      <c r="G36" s="200"/>
      <c r="H36" s="201"/>
      <c r="I36" s="200"/>
      <c r="J36" s="200"/>
      <c r="K36" s="60"/>
      <c r="M36" s="147"/>
      <c r="N36" s="147"/>
      <c r="O36" s="105"/>
      <c r="Q36" s="16"/>
    </row>
    <row r="37" spans="2:17" s="51" customFormat="1" ht="15">
      <c r="B37" s="16" t="s">
        <v>223</v>
      </c>
      <c r="C37" s="181">
        <f>SUM(C35:C36)</f>
        <v>0</v>
      </c>
      <c r="D37" s="182">
        <f>SUM(D35:D36)</f>
        <v>0</v>
      </c>
      <c r="E37" s="65"/>
      <c r="F37" s="202">
        <f>SUM(F35:F36)</f>
        <v>0</v>
      </c>
      <c r="G37" s="202">
        <f>SUM(G35:G36)</f>
        <v>0</v>
      </c>
      <c r="H37" s="201"/>
      <c r="I37" s="202">
        <f>SUM(I35:I36)</f>
        <v>0</v>
      </c>
      <c r="J37" s="202">
        <f>G37</f>
        <v>0</v>
      </c>
      <c r="K37" s="60"/>
      <c r="M37" s="147"/>
      <c r="N37" s="147"/>
      <c r="O37" s="105"/>
      <c r="Q37" s="16"/>
    </row>
    <row r="38" spans="2:17" s="51" customFormat="1" ht="15">
      <c r="B38" s="16"/>
      <c r="C38" s="139"/>
      <c r="D38" s="65"/>
      <c r="E38" s="65"/>
      <c r="F38" s="142"/>
      <c r="G38" s="142"/>
      <c r="H38" s="59"/>
      <c r="I38" s="142"/>
      <c r="J38" s="142"/>
      <c r="K38" s="60"/>
      <c r="M38" s="147"/>
      <c r="N38" s="147"/>
      <c r="O38" s="105"/>
      <c r="Q38" s="16"/>
    </row>
    <row r="39" spans="2:17" s="51" customFormat="1" ht="15.75" thickBot="1">
      <c r="B39" s="16" t="s">
        <v>224</v>
      </c>
      <c r="C39" s="183">
        <f>C33</f>
        <v>12392</v>
      </c>
      <c r="D39" s="117">
        <f>D33</f>
        <v>5757</v>
      </c>
      <c r="E39" s="65"/>
      <c r="F39" s="144">
        <f>F33</f>
        <v>1005.1000200000026</v>
      </c>
      <c r="G39" s="144">
        <f>G33</f>
        <v>2831</v>
      </c>
      <c r="H39" s="59"/>
      <c r="I39" s="144">
        <f>I33</f>
        <v>1005.1000200000026</v>
      </c>
      <c r="J39" s="144">
        <f>J33</f>
        <v>2831</v>
      </c>
      <c r="K39" s="60"/>
      <c r="M39" s="147"/>
      <c r="N39" s="147"/>
      <c r="O39" s="105"/>
      <c r="Q39" s="16"/>
    </row>
    <row r="40" spans="2:17" s="51" customFormat="1" ht="15.75" thickTop="1">
      <c r="B40" s="16"/>
      <c r="C40" s="139"/>
      <c r="D40" s="65"/>
      <c r="E40" s="65"/>
      <c r="F40" s="142"/>
      <c r="G40" s="142"/>
      <c r="H40" s="59"/>
      <c r="I40" s="142"/>
      <c r="J40" s="142"/>
      <c r="K40" s="60"/>
      <c r="M40" s="147"/>
      <c r="N40" s="147"/>
      <c r="O40" s="105"/>
      <c r="Q40" s="16"/>
    </row>
    <row r="41" spans="2:17" s="51" customFormat="1" ht="15">
      <c r="B41" s="16" t="s">
        <v>232</v>
      </c>
      <c r="C41" s="139"/>
      <c r="D41" s="65"/>
      <c r="E41" s="65"/>
      <c r="F41" s="142"/>
      <c r="G41" s="142"/>
      <c r="H41" s="59"/>
      <c r="I41" s="142"/>
      <c r="J41" s="142"/>
      <c r="K41" s="60"/>
      <c r="M41" s="147"/>
      <c r="N41" s="147"/>
      <c r="O41" s="105"/>
      <c r="Q41" s="16"/>
    </row>
    <row r="42" spans="2:17" s="51" customFormat="1" ht="15">
      <c r="B42" s="16"/>
      <c r="C42" s="139"/>
      <c r="D42" s="65"/>
      <c r="E42" s="65"/>
      <c r="F42" s="142"/>
      <c r="G42" s="142"/>
      <c r="H42" s="59"/>
      <c r="I42" s="142"/>
      <c r="J42" s="142"/>
      <c r="K42" s="60"/>
      <c r="M42" s="147"/>
      <c r="N42" s="147"/>
      <c r="O42" s="105"/>
      <c r="Q42" s="16"/>
    </row>
    <row r="43" spans="2:17" s="51" customFormat="1" ht="15">
      <c r="B43" s="51" t="s">
        <v>233</v>
      </c>
      <c r="C43" s="139">
        <f>C39</f>
        <v>12392</v>
      </c>
      <c r="D43" s="65">
        <f>D39</f>
        <v>5757</v>
      </c>
      <c r="E43" s="65"/>
      <c r="F43" s="142">
        <f>F39</f>
        <v>1005.1000200000026</v>
      </c>
      <c r="G43" s="142">
        <f>G39</f>
        <v>2831</v>
      </c>
      <c r="H43" s="59"/>
      <c r="I43" s="142">
        <f>I39</f>
        <v>1005.1000200000026</v>
      </c>
      <c r="J43" s="142">
        <f>J39</f>
        <v>2831</v>
      </c>
      <c r="K43" s="60"/>
      <c r="M43" s="147"/>
      <c r="N43" s="147"/>
      <c r="O43" s="105"/>
      <c r="Q43" s="16"/>
    </row>
    <row r="44" spans="3:17" s="51" customFormat="1" ht="15">
      <c r="C44" s="139"/>
      <c r="D44" s="65"/>
      <c r="E44" s="65"/>
      <c r="F44" s="142"/>
      <c r="G44" s="142"/>
      <c r="H44" s="59"/>
      <c r="I44" s="142"/>
      <c r="J44" s="142"/>
      <c r="K44" s="60"/>
      <c r="M44" s="147"/>
      <c r="N44" s="147"/>
      <c r="O44" s="105"/>
      <c r="Q44" s="16"/>
    </row>
    <row r="45" spans="2:17" s="51" customFormat="1" ht="15">
      <c r="B45" s="51" t="s">
        <v>234</v>
      </c>
      <c r="C45" s="139">
        <v>-5</v>
      </c>
      <c r="D45" s="65">
        <v>0</v>
      </c>
      <c r="E45" s="65"/>
      <c r="F45" s="223">
        <v>2</v>
      </c>
      <c r="G45" s="235">
        <v>0</v>
      </c>
      <c r="H45" s="59"/>
      <c r="I45" s="133">
        <f>F45</f>
        <v>2</v>
      </c>
      <c r="J45" s="133">
        <f>G45</f>
        <v>0</v>
      </c>
      <c r="K45" s="60"/>
      <c r="M45" s="147"/>
      <c r="N45" s="147"/>
      <c r="O45" s="105"/>
      <c r="Q45" s="16"/>
    </row>
    <row r="46" spans="2:17" s="51" customFormat="1" ht="15">
      <c r="B46" s="16"/>
      <c r="C46" s="139"/>
      <c r="D46" s="65"/>
      <c r="E46" s="65"/>
      <c r="F46" s="142"/>
      <c r="G46" s="142"/>
      <c r="H46" s="59"/>
      <c r="I46" s="142"/>
      <c r="J46" s="142"/>
      <c r="K46" s="60"/>
      <c r="M46" s="147"/>
      <c r="N46" s="147"/>
      <c r="O46" s="105"/>
      <c r="Q46" s="16"/>
    </row>
    <row r="47" spans="2:17" s="51" customFormat="1" ht="15.75" thickBot="1">
      <c r="B47" s="51" t="s">
        <v>225</v>
      </c>
      <c r="C47" s="141">
        <f>SUM(C43:C46)</f>
        <v>12387</v>
      </c>
      <c r="D47" s="67">
        <f>SUM(D43:D46)</f>
        <v>5757</v>
      </c>
      <c r="E47" s="65"/>
      <c r="F47" s="134">
        <f>SUM(F43:F46)</f>
        <v>1007.1000200000026</v>
      </c>
      <c r="G47" s="134">
        <f>SUM(G43:G46)</f>
        <v>2831</v>
      </c>
      <c r="H47" s="59"/>
      <c r="I47" s="134">
        <f>SUM(I43:I46)</f>
        <v>1007.1000200000026</v>
      </c>
      <c r="J47" s="134">
        <f>SUM(J43:J46)</f>
        <v>2831</v>
      </c>
      <c r="K47" s="60"/>
      <c r="M47" s="147"/>
      <c r="N47" s="147"/>
      <c r="O47" s="105"/>
      <c r="Q47" s="16"/>
    </row>
    <row r="48" spans="2:17" s="51" customFormat="1" ht="15.75" thickTop="1">
      <c r="B48" s="51" t="s">
        <v>226</v>
      </c>
      <c r="C48" s="139"/>
      <c r="D48" s="65"/>
      <c r="E48" s="65"/>
      <c r="F48" s="142"/>
      <c r="G48" s="65"/>
      <c r="H48" s="59"/>
      <c r="I48" s="142"/>
      <c r="J48" s="142"/>
      <c r="K48" s="60"/>
      <c r="M48" s="147"/>
      <c r="N48" s="147"/>
      <c r="O48" s="105"/>
      <c r="Q48" s="16"/>
    </row>
    <row r="49" spans="2:17" s="51" customFormat="1" ht="15">
      <c r="B49" s="16"/>
      <c r="C49" s="139"/>
      <c r="D49" s="65"/>
      <c r="E49" s="65"/>
      <c r="F49" s="142"/>
      <c r="G49" s="65"/>
      <c r="H49" s="59"/>
      <c r="I49" s="142"/>
      <c r="J49" s="142"/>
      <c r="K49" s="60"/>
      <c r="M49" s="147"/>
      <c r="N49" s="147"/>
      <c r="O49" s="105"/>
      <c r="Q49" s="16"/>
    </row>
    <row r="50" spans="2:11" s="51" customFormat="1" ht="14.25">
      <c r="B50" s="54" t="s">
        <v>148</v>
      </c>
      <c r="C50" s="65"/>
      <c r="D50" s="65"/>
      <c r="E50" s="65"/>
      <c r="F50" s="142"/>
      <c r="G50" s="65"/>
      <c r="H50" s="59"/>
      <c r="I50" s="65"/>
      <c r="J50" s="142"/>
      <c r="K50" s="90"/>
    </row>
    <row r="51" spans="2:11" s="51" customFormat="1" ht="14.25">
      <c r="B51" s="54" t="s">
        <v>149</v>
      </c>
      <c r="C51" s="191">
        <f>'[3]EPS'!$E$19</f>
        <v>90000</v>
      </c>
      <c r="D51" s="64">
        <v>64194</v>
      </c>
      <c r="E51" s="190"/>
      <c r="F51" s="234">
        <v>90000</v>
      </c>
      <c r="G51" s="234">
        <v>90000</v>
      </c>
      <c r="H51" s="64"/>
      <c r="I51" s="191">
        <f>F51</f>
        <v>90000</v>
      </c>
      <c r="J51" s="234">
        <f>G51</f>
        <v>90000</v>
      </c>
      <c r="K51" s="90"/>
    </row>
    <row r="52" spans="2:11" s="51" customFormat="1" ht="14.25">
      <c r="B52" s="54"/>
      <c r="C52" s="191"/>
      <c r="D52" s="184"/>
      <c r="E52" s="184"/>
      <c r="F52" s="191"/>
      <c r="G52" s="191"/>
      <c r="H52" s="64"/>
      <c r="I52" s="191"/>
      <c r="J52" s="191"/>
      <c r="K52" s="90"/>
    </row>
    <row r="53" spans="2:11" s="51" customFormat="1" ht="14.25">
      <c r="B53" s="51" t="s">
        <v>227</v>
      </c>
      <c r="C53" s="192">
        <f>C47/C51*100</f>
        <v>13.763333333333334</v>
      </c>
      <c r="D53" s="190">
        <f>D47/D51*100</f>
        <v>8.968127862417049</v>
      </c>
      <c r="E53" s="190"/>
      <c r="F53" s="192">
        <f>F39/F51*100</f>
        <v>1.1167778000000028</v>
      </c>
      <c r="G53" s="192">
        <v>2.31</v>
      </c>
      <c r="H53" s="64"/>
      <c r="I53" s="192">
        <f>I39/I51*100</f>
        <v>1.1167778000000028</v>
      </c>
      <c r="J53" s="192">
        <v>2.31</v>
      </c>
      <c r="K53" s="60"/>
    </row>
    <row r="54" spans="10:11" s="51" customFormat="1" ht="14.25">
      <c r="J54" s="236"/>
      <c r="K54" s="60"/>
    </row>
    <row r="55" spans="3:11" s="51" customFormat="1" ht="14.25">
      <c r="C55" s="68"/>
      <c r="D55" s="68"/>
      <c r="E55" s="68"/>
      <c r="F55" s="68"/>
      <c r="G55" s="68"/>
      <c r="H55" s="68"/>
      <c r="I55" s="68"/>
      <c r="J55" s="68"/>
      <c r="K55" s="60"/>
    </row>
    <row r="56" s="51" customFormat="1" ht="15">
      <c r="B56" s="69" t="s">
        <v>81</v>
      </c>
    </row>
    <row r="57" s="51" customFormat="1" ht="14.25">
      <c r="B57" s="51" t="s">
        <v>100</v>
      </c>
    </row>
    <row r="58" spans="1:2" s="51" customFormat="1" ht="18">
      <c r="A58" s="124" t="s">
        <v>128</v>
      </c>
      <c r="B58" s="123" t="s">
        <v>143</v>
      </c>
    </row>
    <row r="59" spans="1:2" s="51" customFormat="1" ht="18">
      <c r="A59" s="123"/>
      <c r="B59" s="125" t="s">
        <v>144</v>
      </c>
    </row>
    <row r="60" spans="1:2" s="51" customFormat="1" ht="11.25" customHeight="1">
      <c r="A60" s="123"/>
      <c r="B60" s="123"/>
    </row>
    <row r="61" spans="1:2" s="51" customFormat="1" ht="18">
      <c r="A61" s="122" t="s">
        <v>129</v>
      </c>
      <c r="B61" s="123" t="s">
        <v>228</v>
      </c>
    </row>
    <row r="62" spans="1:2" s="51" customFormat="1" ht="18">
      <c r="A62" s="123"/>
      <c r="B62" s="123" t="s">
        <v>257</v>
      </c>
    </row>
    <row r="63" spans="1:2" s="51" customFormat="1" ht="15.75" customHeight="1">
      <c r="A63" s="123"/>
      <c r="B63" s="123" t="s">
        <v>100</v>
      </c>
    </row>
    <row r="64" spans="1:2" s="51" customFormat="1" ht="15.75" customHeight="1">
      <c r="A64" s="122"/>
      <c r="B64" s="123"/>
    </row>
    <row r="65" spans="2:10" ht="16.5" customHeight="1">
      <c r="B65" s="123"/>
      <c r="C65" s="38"/>
      <c r="D65" s="38"/>
      <c r="E65" s="38"/>
      <c r="F65" s="38"/>
      <c r="G65" s="38"/>
      <c r="H65" s="38"/>
      <c r="I65" s="38"/>
      <c r="J65" s="38"/>
    </row>
    <row r="66" spans="2:10" ht="12.75">
      <c r="B66" s="38"/>
      <c r="C66" s="38"/>
      <c r="D66" s="38"/>
      <c r="E66" s="38"/>
      <c r="F66" s="38"/>
      <c r="G66" s="38"/>
      <c r="H66" s="38"/>
      <c r="I66" s="38"/>
      <c r="J66" s="38"/>
    </row>
    <row r="67" ht="12.75">
      <c r="J67" s="38"/>
    </row>
    <row r="70" ht="12.75">
      <c r="C70" t="s">
        <v>25</v>
      </c>
    </row>
    <row r="94" spans="2:9" ht="12.75">
      <c r="B94" s="38"/>
      <c r="C94" s="120">
        <f>'[2]weighted avr share'!$O$19/1000</f>
        <v>0</v>
      </c>
      <c r="D94" s="38"/>
      <c r="E94" s="38"/>
      <c r="F94" s="38"/>
      <c r="G94" s="38"/>
      <c r="H94" s="38"/>
      <c r="I94" s="120">
        <f>'[2]weighted avr share'!$O$36/1000</f>
        <v>0</v>
      </c>
    </row>
  </sheetData>
  <sheetProtection/>
  <mergeCells count="9">
    <mergeCell ref="I7:J7"/>
    <mergeCell ref="C7:D7"/>
    <mergeCell ref="I8:I11"/>
    <mergeCell ref="D8:D11"/>
    <mergeCell ref="C8:C11"/>
    <mergeCell ref="J8:J11"/>
    <mergeCell ref="F7:G7"/>
    <mergeCell ref="F8:F11"/>
    <mergeCell ref="G8:G11"/>
  </mergeCells>
  <printOptions gridLines="1"/>
  <pageMargins left="0.22" right="0.17" top="0.17" bottom="0.16" header="0.17" footer="0.1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49" t="s">
        <v>158</v>
      </c>
      <c r="C1" s="148"/>
      <c r="D1" s="148"/>
    </row>
    <row r="2" spans="2:4" ht="15">
      <c r="B2" s="149" t="s">
        <v>159</v>
      </c>
      <c r="C2" s="148"/>
      <c r="D2" s="148"/>
    </row>
    <row r="3" spans="2:4" ht="15">
      <c r="B3" s="154"/>
      <c r="C3" s="154"/>
      <c r="D3" s="150">
        <v>2009</v>
      </c>
    </row>
    <row r="4" spans="2:4" ht="15">
      <c r="B4" s="150"/>
      <c r="C4" s="154"/>
      <c r="D4" s="150" t="s">
        <v>160</v>
      </c>
    </row>
    <row r="5" spans="2:4" ht="15">
      <c r="B5" s="154"/>
      <c r="C5" s="154"/>
      <c r="D5" s="150"/>
    </row>
    <row r="6" spans="2:4" ht="15">
      <c r="B6" s="154" t="s">
        <v>35</v>
      </c>
      <c r="C6" s="154"/>
      <c r="D6" s="150"/>
    </row>
    <row r="7" spans="2:4" ht="15">
      <c r="B7" s="154" t="s">
        <v>36</v>
      </c>
      <c r="C7" s="155"/>
      <c r="D7" s="151"/>
    </row>
    <row r="8" spans="2:4" ht="14.25">
      <c r="B8" s="155" t="s">
        <v>113</v>
      </c>
      <c r="C8" s="155">
        <v>4</v>
      </c>
      <c r="D8" s="156">
        <v>27432609</v>
      </c>
    </row>
    <row r="9" spans="2:4" ht="14.25">
      <c r="B9" s="155" t="s">
        <v>161</v>
      </c>
      <c r="C9" s="155">
        <v>5</v>
      </c>
      <c r="D9" s="156">
        <v>2517123</v>
      </c>
    </row>
    <row r="10" spans="2:4" ht="15" thickBot="1">
      <c r="B10" s="155" t="s">
        <v>162</v>
      </c>
      <c r="C10" s="155">
        <v>6</v>
      </c>
      <c r="D10" s="157">
        <v>373969</v>
      </c>
    </row>
    <row r="11" spans="2:4" ht="15" thickBot="1">
      <c r="B11" s="155"/>
      <c r="C11" s="155"/>
      <c r="D11" s="157">
        <v>30323701</v>
      </c>
    </row>
    <row r="12" spans="2:4" ht="14.25">
      <c r="B12" s="155"/>
      <c r="C12" s="155"/>
      <c r="D12" s="151"/>
    </row>
    <row r="13" spans="2:4" ht="15">
      <c r="B13" s="154" t="s">
        <v>163</v>
      </c>
      <c r="C13" s="155"/>
      <c r="D13" s="151"/>
    </row>
    <row r="14" spans="2:4" ht="14.25">
      <c r="B14" s="155" t="s">
        <v>55</v>
      </c>
      <c r="C14" s="155"/>
      <c r="D14" s="156">
        <v>5552350</v>
      </c>
    </row>
    <row r="15" spans="2:4" ht="14.25">
      <c r="B15" s="155" t="s">
        <v>54</v>
      </c>
      <c r="C15" s="155"/>
      <c r="D15" s="156">
        <v>16242532</v>
      </c>
    </row>
    <row r="16" spans="2:4" ht="14.25">
      <c r="B16" s="155" t="s">
        <v>115</v>
      </c>
      <c r="C16" s="155">
        <v>7</v>
      </c>
      <c r="D16" s="156">
        <v>16697047</v>
      </c>
    </row>
    <row r="17" spans="2:4" ht="14.25">
      <c r="B17" s="155" t="s">
        <v>164</v>
      </c>
      <c r="C17" s="155">
        <v>8</v>
      </c>
      <c r="D17" s="156">
        <v>969346</v>
      </c>
    </row>
    <row r="18" spans="2:4" ht="14.25">
      <c r="B18" s="155" t="s">
        <v>165</v>
      </c>
      <c r="C18" s="155"/>
      <c r="D18" s="156">
        <v>641291</v>
      </c>
    </row>
    <row r="19" spans="2:4" ht="14.25">
      <c r="B19" s="155" t="s">
        <v>166</v>
      </c>
      <c r="C19" s="155">
        <v>9</v>
      </c>
      <c r="D19" s="156">
        <v>8538068</v>
      </c>
    </row>
    <row r="20" spans="2:4" ht="14.25">
      <c r="B20" s="155" t="s">
        <v>82</v>
      </c>
      <c r="C20" s="155">
        <v>10</v>
      </c>
      <c r="D20" s="156">
        <v>19711108</v>
      </c>
    </row>
    <row r="21" spans="2:4" ht="15" thickBot="1">
      <c r="B21" s="155" t="s">
        <v>167</v>
      </c>
      <c r="C21" s="155"/>
      <c r="D21" s="157">
        <v>3199333</v>
      </c>
    </row>
    <row r="22" spans="2:4" ht="15" thickBot="1">
      <c r="B22" s="155"/>
      <c r="C22" s="155"/>
      <c r="D22" s="157">
        <v>71551075</v>
      </c>
    </row>
    <row r="23" spans="2:4" ht="14.25">
      <c r="B23" s="155"/>
      <c r="C23" s="155"/>
      <c r="D23" s="151"/>
    </row>
    <row r="24" spans="2:4" ht="15.75" thickBot="1">
      <c r="B24" s="154" t="s">
        <v>168</v>
      </c>
      <c r="C24" s="155"/>
      <c r="D24" s="158">
        <v>101874776</v>
      </c>
    </row>
    <row r="25" spans="2:4" ht="15" thickTop="1">
      <c r="B25" s="155"/>
      <c r="C25" s="155"/>
      <c r="D25" s="151"/>
    </row>
    <row r="26" spans="2:4" ht="15">
      <c r="B26" s="154" t="s">
        <v>38</v>
      </c>
      <c r="C26" s="155"/>
      <c r="D26" s="151"/>
    </row>
    <row r="27" spans="2:4" ht="30">
      <c r="B27" s="154" t="s">
        <v>169</v>
      </c>
      <c r="C27" s="155"/>
      <c r="D27" s="151"/>
    </row>
    <row r="28" spans="2:4" ht="14.25">
      <c r="B28" s="155" t="s">
        <v>58</v>
      </c>
      <c r="C28" s="155">
        <v>11</v>
      </c>
      <c r="D28" s="156">
        <v>45000000</v>
      </c>
    </row>
    <row r="29" spans="2:4" ht="15" thickBot="1">
      <c r="B29" s="155" t="s">
        <v>117</v>
      </c>
      <c r="C29" s="155">
        <v>12</v>
      </c>
      <c r="D29" s="157">
        <v>11565078</v>
      </c>
    </row>
    <row r="30" spans="2:4" ht="15.75" thickBot="1">
      <c r="B30" s="154" t="s">
        <v>63</v>
      </c>
      <c r="C30" s="155"/>
      <c r="D30" s="157">
        <v>56565078</v>
      </c>
    </row>
    <row r="31" spans="2:4" ht="14.25">
      <c r="B31" s="155"/>
      <c r="C31" s="155"/>
      <c r="D31" s="151"/>
    </row>
    <row r="32" spans="2:4" ht="15">
      <c r="B32" s="154" t="s">
        <v>39</v>
      </c>
      <c r="C32" s="155"/>
      <c r="D32" s="151"/>
    </row>
    <row r="33" spans="2:4" ht="14.25">
      <c r="B33" s="155" t="s">
        <v>59</v>
      </c>
      <c r="C33" s="155">
        <v>13</v>
      </c>
      <c r="D33" s="156">
        <v>345789</v>
      </c>
    </row>
    <row r="34" spans="2:4" ht="14.25">
      <c r="B34" s="155" t="s">
        <v>170</v>
      </c>
      <c r="C34" s="155">
        <v>14</v>
      </c>
      <c r="D34" s="156">
        <v>16586846</v>
      </c>
    </row>
    <row r="35" spans="2:4" ht="15" thickBot="1">
      <c r="B35" s="155" t="s">
        <v>119</v>
      </c>
      <c r="C35" s="155">
        <v>15</v>
      </c>
      <c r="D35" s="157">
        <v>1143700</v>
      </c>
    </row>
    <row r="36" spans="2:4" ht="15" thickBot="1">
      <c r="B36" s="155"/>
      <c r="C36" s="155"/>
      <c r="D36" s="157">
        <v>18076335</v>
      </c>
    </row>
    <row r="37" spans="2:4" ht="14.25">
      <c r="B37" s="155"/>
      <c r="C37" s="155"/>
      <c r="D37" s="151"/>
    </row>
    <row r="38" spans="2:4" ht="15">
      <c r="B38" s="154" t="s">
        <v>171</v>
      </c>
      <c r="C38" s="155"/>
      <c r="D38" s="151"/>
    </row>
    <row r="39" spans="2:4" ht="14.25">
      <c r="B39" s="155" t="s">
        <v>172</v>
      </c>
      <c r="C39" s="155">
        <v>16</v>
      </c>
      <c r="D39" s="156">
        <v>8748757</v>
      </c>
    </row>
    <row r="40" spans="2:4" ht="14.25">
      <c r="B40" s="155" t="s">
        <v>120</v>
      </c>
      <c r="C40" s="155"/>
      <c r="D40" s="156">
        <v>2966428</v>
      </c>
    </row>
    <row r="41" spans="2:4" ht="14.25">
      <c r="B41" s="155" t="s">
        <v>59</v>
      </c>
      <c r="C41" s="155">
        <v>13</v>
      </c>
      <c r="D41" s="156">
        <v>127863</v>
      </c>
    </row>
    <row r="42" spans="2:4" ht="14.25">
      <c r="B42" s="155" t="s">
        <v>170</v>
      </c>
      <c r="C42" s="155">
        <v>14</v>
      </c>
      <c r="D42" s="156">
        <v>14173873</v>
      </c>
    </row>
    <row r="43" spans="2:4" ht="15" thickBot="1">
      <c r="B43" s="155" t="s">
        <v>173</v>
      </c>
      <c r="C43" s="155"/>
      <c r="D43" s="157">
        <v>1216442</v>
      </c>
    </row>
    <row r="44" spans="2:4" ht="15" thickBot="1">
      <c r="B44" s="155"/>
      <c r="C44" s="155"/>
      <c r="D44" s="157">
        <v>27233363</v>
      </c>
    </row>
    <row r="45" spans="2:4" ht="14.25">
      <c r="B45" s="155"/>
      <c r="C45" s="155"/>
      <c r="D45" s="151"/>
    </row>
    <row r="46" spans="2:4" ht="15.75" thickBot="1">
      <c r="B46" s="154" t="s">
        <v>174</v>
      </c>
      <c r="C46" s="155"/>
      <c r="D46" s="157">
        <v>45309698</v>
      </c>
    </row>
    <row r="47" spans="2:4" ht="15.75" thickBot="1">
      <c r="B47" s="154" t="s">
        <v>175</v>
      </c>
      <c r="C47" s="155"/>
      <c r="D47" s="158">
        <v>101874776</v>
      </c>
    </row>
    <row r="48" spans="2:4" ht="13.5" thickTop="1">
      <c r="B48" s="152"/>
      <c r="C48" s="152"/>
      <c r="D48" s="159"/>
    </row>
    <row r="49" ht="14.25">
      <c r="B49" s="15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52">
      <selection activeCell="J64" sqref="J64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42" t="str">
        <f>+'Income statement'!B1</f>
        <v>HANDAL RESOURCES  BERHAD (816839-X)</v>
      </c>
      <c r="C1" s="242"/>
      <c r="D1" s="242"/>
      <c r="E1" s="242"/>
      <c r="F1" s="242"/>
      <c r="G1" s="242"/>
      <c r="H1" s="242"/>
    </row>
    <row r="2" spans="2:8" ht="18">
      <c r="B2" s="3"/>
      <c r="C2" s="3"/>
      <c r="D2" s="3"/>
      <c r="E2" s="3"/>
      <c r="F2" s="3"/>
      <c r="G2" s="3"/>
      <c r="H2" s="3"/>
    </row>
    <row r="3" spans="2:8" s="72" customFormat="1" ht="15.75">
      <c r="B3" s="70" t="s">
        <v>219</v>
      </c>
      <c r="C3" s="71"/>
      <c r="D3" s="71"/>
      <c r="E3" s="71"/>
      <c r="F3" s="71"/>
      <c r="G3" s="71"/>
      <c r="H3" s="71"/>
    </row>
    <row r="4" s="72" customFormat="1" ht="15.75">
      <c r="B4" s="70" t="s">
        <v>251</v>
      </c>
    </row>
    <row r="5" s="72" customFormat="1" ht="15"/>
    <row r="6" spans="3:7" s="72" customFormat="1" ht="15.75">
      <c r="C6" s="73" t="s">
        <v>79</v>
      </c>
      <c r="D6" s="73"/>
      <c r="E6" s="73" t="s">
        <v>79</v>
      </c>
      <c r="F6" s="73"/>
      <c r="G6" s="73" t="s">
        <v>122</v>
      </c>
    </row>
    <row r="7" spans="3:7" s="72" customFormat="1" ht="15.75">
      <c r="C7" s="73" t="s">
        <v>80</v>
      </c>
      <c r="D7" s="73"/>
      <c r="E7" s="73" t="s">
        <v>80</v>
      </c>
      <c r="F7" s="73"/>
      <c r="G7" s="73" t="s">
        <v>80</v>
      </c>
    </row>
    <row r="8" spans="3:7" s="72" customFormat="1" ht="15.75">
      <c r="C8" s="73" t="str">
        <f>+'Income statement'!C12</f>
        <v>30 September 2010</v>
      </c>
      <c r="D8" s="73"/>
      <c r="E8" s="74" t="s">
        <v>249</v>
      </c>
      <c r="F8" s="73"/>
      <c r="G8" s="74" t="s">
        <v>240</v>
      </c>
    </row>
    <row r="9" spans="3:7" s="72" customFormat="1" ht="15.75">
      <c r="C9" s="71" t="s">
        <v>3</v>
      </c>
      <c r="D9" s="71"/>
      <c r="E9" s="71" t="s">
        <v>3</v>
      </c>
      <c r="F9" s="71"/>
      <c r="G9" s="71" t="s">
        <v>3</v>
      </c>
    </row>
    <row r="10" spans="3:7" s="72" customFormat="1" ht="15.75">
      <c r="C10" s="71"/>
      <c r="D10" s="71"/>
      <c r="E10" s="71"/>
      <c r="F10" s="71"/>
      <c r="G10" s="71"/>
    </row>
    <row r="11" spans="2:7" s="72" customFormat="1" ht="15.75">
      <c r="B11" s="70" t="s">
        <v>35</v>
      </c>
      <c r="C11" s="71"/>
      <c r="D11" s="71"/>
      <c r="E11" s="71"/>
      <c r="F11" s="71"/>
      <c r="G11" s="71"/>
    </row>
    <row r="12" spans="2:7" s="72" customFormat="1" ht="15.75">
      <c r="B12" s="70" t="s">
        <v>36</v>
      </c>
      <c r="C12" s="108"/>
      <c r="D12" s="71"/>
      <c r="E12" s="71"/>
      <c r="F12" s="71"/>
      <c r="G12" s="71"/>
    </row>
    <row r="13" spans="2:8" s="72" customFormat="1" ht="12.75" customHeight="1">
      <c r="B13" s="75" t="s">
        <v>113</v>
      </c>
      <c r="C13" s="109">
        <f>'[4]1conso-YTD'!$N$65</f>
        <v>27678.76659</v>
      </c>
      <c r="D13" s="76"/>
      <c r="E13" s="109">
        <f>'[6]1conso-YTD'!$Q$67</f>
        <v>28257.533550000004</v>
      </c>
      <c r="F13" s="76"/>
      <c r="G13" s="109">
        <v>29229</v>
      </c>
      <c r="H13" s="77"/>
    </row>
    <row r="14" spans="2:8" s="72" customFormat="1" ht="15">
      <c r="B14" s="75" t="s">
        <v>114</v>
      </c>
      <c r="C14" s="109">
        <f>'[4]1conso-YTD'!$N$66</f>
        <v>2506.04367</v>
      </c>
      <c r="D14" s="76"/>
      <c r="E14" s="109">
        <f>'[6]1conso-YTD'!$Q$68</f>
        <v>2459</v>
      </c>
      <c r="F14" s="76"/>
      <c r="G14" s="109">
        <v>2473</v>
      </c>
      <c r="H14" s="78"/>
    </row>
    <row r="15" spans="2:8" s="72" customFormat="1" ht="15.75" thickBot="1">
      <c r="B15" s="75" t="s">
        <v>153</v>
      </c>
      <c r="C15" s="110">
        <f>'[4]1conso-YTD'!$N$71</f>
        <v>373.97199</v>
      </c>
      <c r="D15" s="76"/>
      <c r="E15" s="110">
        <f>'[6]1conso-YTD'!$Q$73</f>
        <v>373.96898999999996</v>
      </c>
      <c r="F15" s="76"/>
      <c r="G15" s="110">
        <f>'BS12.09'!D10/1000</f>
        <v>373.969</v>
      </c>
      <c r="H15" s="78"/>
    </row>
    <row r="16" spans="2:8" s="72" customFormat="1" ht="16.5" thickBot="1">
      <c r="B16" s="79"/>
      <c r="C16" s="110">
        <f>SUM(C13:C15)</f>
        <v>30558.782249999997</v>
      </c>
      <c r="D16" s="76"/>
      <c r="E16" s="118">
        <f>SUM(E13:E15)</f>
        <v>31090.502540000005</v>
      </c>
      <c r="F16" s="76"/>
      <c r="G16" s="110">
        <f>SUM(G13:G15)</f>
        <v>32075.969</v>
      </c>
      <c r="H16" s="78"/>
    </row>
    <row r="17" spans="2:8" s="72" customFormat="1" ht="15">
      <c r="B17" s="75"/>
      <c r="C17" s="111"/>
      <c r="D17" s="80"/>
      <c r="E17" s="111"/>
      <c r="F17" s="80"/>
      <c r="G17" s="111"/>
      <c r="H17" s="78"/>
    </row>
    <row r="18" spans="2:8" s="72" customFormat="1" ht="15">
      <c r="B18" s="75"/>
      <c r="C18" s="111"/>
      <c r="D18" s="80"/>
      <c r="E18" s="111"/>
      <c r="F18" s="80"/>
      <c r="G18" s="111"/>
      <c r="H18" s="78"/>
    </row>
    <row r="19" spans="2:8" s="72" customFormat="1" ht="15.75">
      <c r="B19" s="79" t="s">
        <v>4</v>
      </c>
      <c r="C19" s="111"/>
      <c r="D19" s="80"/>
      <c r="E19" s="111"/>
      <c r="F19" s="80"/>
      <c r="G19" s="111"/>
      <c r="H19" s="78"/>
    </row>
    <row r="20" spans="2:8" s="72" customFormat="1" ht="15">
      <c r="B20" s="78" t="s">
        <v>55</v>
      </c>
      <c r="C20" s="109">
        <f>'[4]1conso-YTD'!$N$75</f>
        <v>5239.74082</v>
      </c>
      <c r="D20" s="76"/>
      <c r="E20" s="109">
        <f>'[6]1conso-YTD'!$Q$77</f>
        <v>6727.202300000001</v>
      </c>
      <c r="F20" s="76"/>
      <c r="G20" s="109">
        <v>5195</v>
      </c>
      <c r="H20" s="78"/>
    </row>
    <row r="21" spans="2:8" s="72" customFormat="1" ht="15">
      <c r="B21" s="78" t="s">
        <v>246</v>
      </c>
      <c r="C21" s="109">
        <f>'[4]1conso-YTD'!$N$76</f>
        <v>199</v>
      </c>
      <c r="D21" s="76"/>
      <c r="E21" s="194">
        <f>'[6]1conso-YTD'!$Q$78</f>
        <v>0</v>
      </c>
      <c r="F21" s="76"/>
      <c r="G21" s="109">
        <v>2212</v>
      </c>
      <c r="H21" s="78"/>
    </row>
    <row r="22" spans="2:8" s="72" customFormat="1" ht="15">
      <c r="B22" s="78" t="s">
        <v>54</v>
      </c>
      <c r="C22" s="109">
        <f>'[4]1conso-YTD'!$N$77</f>
        <v>17984.309699999994</v>
      </c>
      <c r="D22" s="76"/>
      <c r="E22" s="109">
        <f>'[6]1conso-YTD'!$Q$79</f>
        <v>18083.335659999993</v>
      </c>
      <c r="F22" s="76"/>
      <c r="G22" s="109">
        <v>14112</v>
      </c>
      <c r="H22" s="78"/>
    </row>
    <row r="23" spans="2:8" s="72" customFormat="1" ht="15">
      <c r="B23" s="78" t="s">
        <v>115</v>
      </c>
      <c r="C23" s="109">
        <f>'[4]1conso-YTD'!$N$78</f>
        <v>18688.837959999997</v>
      </c>
      <c r="D23" s="76"/>
      <c r="E23" s="109">
        <f>'[6]1conso-YTD'!$Q$80+'[6]1conso-YTD'!$Q$81</f>
        <v>23910.604070000005</v>
      </c>
      <c r="F23" s="76"/>
      <c r="G23" s="109">
        <f>28631+324</f>
        <v>28955</v>
      </c>
      <c r="H23" s="78"/>
    </row>
    <row r="24" spans="2:8" s="72" customFormat="1" ht="15">
      <c r="B24" s="78" t="s">
        <v>56</v>
      </c>
      <c r="C24" s="109">
        <f>'[4]1conso-YTD'!$N$80+'[4]1conso-YTD'!$N$81+750</f>
        <v>1382.37885</v>
      </c>
      <c r="D24" s="76"/>
      <c r="E24" s="109">
        <f>'[6]1conso-YTD'!$Q$82+'[6]1conso-YTD'!$Q$83</f>
        <v>5679.36793</v>
      </c>
      <c r="F24" s="76"/>
      <c r="G24" s="109">
        <v>3933</v>
      </c>
      <c r="H24" s="78"/>
    </row>
    <row r="25" spans="2:8" s="72" customFormat="1" ht="15">
      <c r="B25" s="78" t="s">
        <v>116</v>
      </c>
      <c r="C25" s="109">
        <f>'[4]1conso-YTD'!$N$82</f>
        <v>29349.86621</v>
      </c>
      <c r="D25" s="76"/>
      <c r="E25" s="109">
        <f>'[6]1conso-YTD'!$Q$84</f>
        <v>31226.074559999997</v>
      </c>
      <c r="F25" s="76"/>
      <c r="G25" s="109">
        <f>20123+11807</f>
        <v>31930</v>
      </c>
      <c r="H25" s="78"/>
    </row>
    <row r="26" spans="2:8" s="72" customFormat="1" ht="15.75" thickBot="1">
      <c r="B26" s="78" t="s">
        <v>150</v>
      </c>
      <c r="C26" s="121">
        <f>'[4]1conso-YTD'!$N$83</f>
        <v>3943.64952</v>
      </c>
      <c r="D26" s="76"/>
      <c r="E26" s="110">
        <f>'[6]1conso-YTD'!$Q$85+31200</f>
        <v>58374.720460000004</v>
      </c>
      <c r="F26" s="76"/>
      <c r="G26" s="110">
        <v>7333</v>
      </c>
      <c r="H26" s="78"/>
    </row>
    <row r="27" spans="2:8" s="72" customFormat="1" ht="15.75" thickBot="1">
      <c r="B27" s="75"/>
      <c r="C27" s="110">
        <f>SUM(C20:C26)+0.5</f>
        <v>76788.28306</v>
      </c>
      <c r="D27" s="80"/>
      <c r="E27" s="118">
        <f>SUM(E20:E26)</f>
        <v>144001.30498000002</v>
      </c>
      <c r="F27" s="80"/>
      <c r="G27" s="110">
        <f>SUM(G20:G26)</f>
        <v>93670</v>
      </c>
      <c r="H27" s="78"/>
    </row>
    <row r="28" spans="2:8" s="72" customFormat="1" ht="15">
      <c r="B28" s="75"/>
      <c r="C28" s="111"/>
      <c r="D28" s="80"/>
      <c r="E28" s="111"/>
      <c r="F28" s="80"/>
      <c r="G28" s="111"/>
      <c r="H28" s="78"/>
    </row>
    <row r="29" spans="2:8" s="72" customFormat="1" ht="16.5" thickBot="1">
      <c r="B29" s="79" t="s">
        <v>37</v>
      </c>
      <c r="C29" s="112">
        <f>+C27+C16</f>
        <v>107347.06531</v>
      </c>
      <c r="D29" s="80"/>
      <c r="E29" s="112">
        <f>+E27+E16</f>
        <v>175091.80752000003</v>
      </c>
      <c r="F29" s="80"/>
      <c r="G29" s="112">
        <f>G16+G27</f>
        <v>125745.969</v>
      </c>
      <c r="H29" s="78"/>
    </row>
    <row r="30" spans="2:8" s="72" customFormat="1" ht="15.75" thickTop="1">
      <c r="B30" s="75"/>
      <c r="C30" s="111"/>
      <c r="D30" s="80"/>
      <c r="E30" s="111"/>
      <c r="F30" s="80"/>
      <c r="G30" s="111"/>
      <c r="H30" s="78"/>
    </row>
    <row r="31" spans="2:8" s="72" customFormat="1" ht="15.75">
      <c r="B31" s="79" t="s">
        <v>38</v>
      </c>
      <c r="C31" s="111"/>
      <c r="D31" s="80"/>
      <c r="E31" s="111"/>
      <c r="F31" s="80"/>
      <c r="G31" s="111"/>
      <c r="H31" s="78"/>
    </row>
    <row r="32" spans="2:8" s="72" customFormat="1" ht="15.75">
      <c r="B32" s="79" t="s">
        <v>57</v>
      </c>
      <c r="C32" s="111"/>
      <c r="D32" s="80"/>
      <c r="E32" s="111"/>
      <c r="F32" s="80"/>
      <c r="G32" s="111"/>
      <c r="H32" s="78"/>
    </row>
    <row r="33" spans="2:8" s="72" customFormat="1" ht="15">
      <c r="B33" s="78" t="s">
        <v>58</v>
      </c>
      <c r="C33" s="109">
        <f>'[4]1conso-YTD'!$N$95</f>
        <v>45000</v>
      </c>
      <c r="D33" s="76"/>
      <c r="E33" s="109">
        <f>'[6]1conso-YTD'!$Q$98</f>
        <v>45000</v>
      </c>
      <c r="F33" s="76"/>
      <c r="G33" s="109">
        <v>45000</v>
      </c>
      <c r="H33" s="78"/>
    </row>
    <row r="34" spans="2:8" s="72" customFormat="1" ht="15">
      <c r="B34" s="78" t="s">
        <v>145</v>
      </c>
      <c r="C34" s="109">
        <f>'[4]1conso-YTD'!$N$97</f>
        <v>1549.57636</v>
      </c>
      <c r="D34" s="76"/>
      <c r="E34" s="109">
        <f>'[6]1conso-YTD'!$Q$100</f>
        <v>1550</v>
      </c>
      <c r="F34" s="76"/>
      <c r="G34" s="109">
        <v>1550</v>
      </c>
      <c r="H34" s="78"/>
    </row>
    <row r="35" spans="2:8" s="72" customFormat="1" ht="15.75" thickBot="1">
      <c r="B35" s="78" t="s">
        <v>117</v>
      </c>
      <c r="C35" s="110">
        <f>'[4]1conso-YTD'!$N$98+750</f>
        <v>12847.421649</v>
      </c>
      <c r="D35" s="76"/>
      <c r="E35" s="110">
        <f>'[6]1conso-YTD'!$Q$101+1</f>
        <v>24841.27854</v>
      </c>
      <c r="F35" s="76"/>
      <c r="G35" s="110">
        <v>23836</v>
      </c>
      <c r="H35" s="78"/>
    </row>
    <row r="36" spans="2:8" s="72" customFormat="1" ht="15">
      <c r="B36" s="78" t="s">
        <v>155</v>
      </c>
      <c r="C36" s="145">
        <f>SUM(C33:C35)</f>
        <v>59396.998009</v>
      </c>
      <c r="D36" s="80"/>
      <c r="E36" s="111">
        <f>SUM(E33:E35)</f>
        <v>71391.27854</v>
      </c>
      <c r="F36" s="80"/>
      <c r="G36" s="145">
        <f>SUM(G33:G35)</f>
        <v>70386</v>
      </c>
      <c r="H36" s="78"/>
    </row>
    <row r="37" spans="2:8" s="72" customFormat="1" ht="15">
      <c r="B37" s="78" t="s">
        <v>156</v>
      </c>
      <c r="C37" s="109">
        <f>'[4]1conso-YTD'!$N$101</f>
        <v>-2.369579</v>
      </c>
      <c r="D37" s="76"/>
      <c r="E37" s="109">
        <f>'[6]1conso-YTD'!$Q$104</f>
        <v>3.2845999999999993</v>
      </c>
      <c r="F37" s="76"/>
      <c r="G37" s="194">
        <v>3</v>
      </c>
      <c r="H37" s="78"/>
    </row>
    <row r="38" spans="2:8" s="72" customFormat="1" ht="15">
      <c r="B38" s="78"/>
      <c r="C38" s="111"/>
      <c r="D38" s="80"/>
      <c r="E38" s="111"/>
      <c r="F38" s="80"/>
      <c r="G38" s="111"/>
      <c r="H38" s="78"/>
    </row>
    <row r="39" spans="2:8" s="72" customFormat="1" ht="15.75" thickBot="1">
      <c r="B39" s="78" t="s">
        <v>123</v>
      </c>
      <c r="C39" s="146">
        <f>SUM(C36:C38)</f>
        <v>59394.628430000004</v>
      </c>
      <c r="D39" s="80"/>
      <c r="E39" s="146">
        <f>SUM(E36:E38)-1</f>
        <v>71393.56314</v>
      </c>
      <c r="F39" s="80"/>
      <c r="G39" s="146">
        <f>SUM(G36:G38)</f>
        <v>70389</v>
      </c>
      <c r="H39" s="78"/>
    </row>
    <row r="40" spans="2:8" s="72" customFormat="1" ht="15.75">
      <c r="B40" s="81"/>
      <c r="C40" s="109"/>
      <c r="D40" s="80"/>
      <c r="E40" s="111"/>
      <c r="F40" s="80"/>
      <c r="G40" s="109"/>
      <c r="H40" s="78"/>
    </row>
    <row r="41" spans="2:8" s="72" customFormat="1" ht="15.75">
      <c r="B41" s="81" t="s">
        <v>39</v>
      </c>
      <c r="C41" s="109"/>
      <c r="D41" s="80"/>
      <c r="E41" s="111"/>
      <c r="F41" s="80"/>
      <c r="G41" s="109"/>
      <c r="H41" s="78"/>
    </row>
    <row r="42" spans="2:8" s="72" customFormat="1" ht="15">
      <c r="B42" s="78" t="s">
        <v>59</v>
      </c>
      <c r="C42" s="109">
        <f>'[4]1conso-YTD'!$N$106</f>
        <v>128</v>
      </c>
      <c r="D42" s="76"/>
      <c r="E42" s="109">
        <f>'[6]1conso-YTD'!$Q$109</f>
        <v>128</v>
      </c>
      <c r="F42" s="76"/>
      <c r="G42" s="109">
        <v>248</v>
      </c>
      <c r="H42" s="78"/>
    </row>
    <row r="43" spans="2:8" s="72" customFormat="1" ht="15">
      <c r="B43" s="78" t="s">
        <v>118</v>
      </c>
      <c r="C43" s="109">
        <f>'[4]1conso-YTD'!$N$107-5000</f>
        <v>16845.727010000002</v>
      </c>
      <c r="D43" s="76"/>
      <c r="E43" s="109">
        <f>'[6]1conso-YTD'!$Q$110</f>
        <v>22227.9445</v>
      </c>
      <c r="F43" s="76"/>
      <c r="G43" s="109">
        <v>18844</v>
      </c>
      <c r="H43" s="78"/>
    </row>
    <row r="44" spans="2:8" s="72" customFormat="1" ht="15.75" thickBot="1">
      <c r="B44" s="78" t="s">
        <v>119</v>
      </c>
      <c r="C44" s="110">
        <f>'[4]1conso-YTD'!$N$108</f>
        <v>1143.5</v>
      </c>
      <c r="D44" s="76"/>
      <c r="E44" s="110">
        <f>'[6]1conso-YTD'!$Q$111</f>
        <v>1978.5</v>
      </c>
      <c r="F44" s="76"/>
      <c r="G44" s="110">
        <v>1979</v>
      </c>
      <c r="H44" s="78"/>
    </row>
    <row r="45" spans="2:8" s="72" customFormat="1" ht="16.5" thickBot="1">
      <c r="B45" s="81"/>
      <c r="C45" s="110">
        <f>SUM(C42:C44)</f>
        <v>18117.227010000002</v>
      </c>
      <c r="D45" s="80"/>
      <c r="E45" s="118">
        <f>SUM(E42:E44)+1</f>
        <v>24335.4445</v>
      </c>
      <c r="F45" s="80"/>
      <c r="G45" s="118">
        <f>SUM(G42:G44)</f>
        <v>21071</v>
      </c>
      <c r="H45" s="78"/>
    </row>
    <row r="46" spans="2:8" s="72" customFormat="1" ht="15.75">
      <c r="B46" s="81"/>
      <c r="C46" s="109"/>
      <c r="D46" s="80"/>
      <c r="E46" s="111"/>
      <c r="F46" s="80"/>
      <c r="G46" s="109"/>
      <c r="H46" s="78"/>
    </row>
    <row r="47" spans="2:8" s="72" customFormat="1" ht="15.75">
      <c r="B47" s="81" t="s">
        <v>40</v>
      </c>
      <c r="C47" s="111"/>
      <c r="D47" s="80"/>
      <c r="E47" s="111"/>
      <c r="F47" s="80"/>
      <c r="G47" s="111"/>
      <c r="H47" s="78"/>
    </row>
    <row r="48" spans="2:8" s="72" customFormat="1" ht="15">
      <c r="B48" s="78" t="s">
        <v>267</v>
      </c>
      <c r="C48" s="111"/>
      <c r="D48" s="80"/>
      <c r="E48" s="111">
        <f>'[6]1conso-YTD'!$Q$113</f>
        <v>22987.616690000003</v>
      </c>
      <c r="F48" s="80"/>
      <c r="G48" s="195">
        <v>0</v>
      </c>
      <c r="H48" s="78"/>
    </row>
    <row r="49" spans="2:8" s="72" customFormat="1" ht="15">
      <c r="B49" s="78" t="s">
        <v>271</v>
      </c>
      <c r="C49" s="111"/>
      <c r="D49" s="80"/>
      <c r="E49" s="111">
        <v>31200</v>
      </c>
      <c r="F49" s="80"/>
      <c r="G49" s="195"/>
      <c r="H49" s="78"/>
    </row>
    <row r="50" spans="2:8" s="72" customFormat="1" ht="15">
      <c r="B50" s="78" t="s">
        <v>247</v>
      </c>
      <c r="C50" s="111"/>
      <c r="D50" s="80"/>
      <c r="E50" s="111">
        <f>'[6]1conso-YTD'!$Q$114</f>
        <v>1718</v>
      </c>
      <c r="F50" s="80"/>
      <c r="G50" s="195">
        <v>3257</v>
      </c>
      <c r="H50" s="78"/>
    </row>
    <row r="51" spans="2:8" s="72" customFormat="1" ht="15">
      <c r="B51" s="75" t="s">
        <v>60</v>
      </c>
      <c r="C51" s="109">
        <f>'[4]1conso-YTD'!$N$111</f>
        <v>8518.03714</v>
      </c>
      <c r="D51" s="76"/>
      <c r="E51" s="109">
        <f>'[6]1conso-YTD'!$Q$115-1</f>
        <v>9717.570240000001</v>
      </c>
      <c r="F51" s="76"/>
      <c r="G51" s="109">
        <v>10593</v>
      </c>
      <c r="H51" s="78"/>
    </row>
    <row r="52" spans="2:8" s="72" customFormat="1" ht="15">
      <c r="B52" s="75" t="s">
        <v>120</v>
      </c>
      <c r="C52" s="109">
        <f>'[4]1conso-YTD'!$N$112</f>
        <v>2186.2584</v>
      </c>
      <c r="D52" s="76"/>
      <c r="E52" s="109">
        <f>'[6]1conso-YTD'!$Q$116-182</f>
        <v>2574.33952</v>
      </c>
      <c r="F52" s="76"/>
      <c r="G52" s="109">
        <v>3025</v>
      </c>
      <c r="H52" s="78"/>
    </row>
    <row r="53" spans="2:8" s="72" customFormat="1" ht="15">
      <c r="B53" s="75" t="s">
        <v>59</v>
      </c>
      <c r="C53" s="109">
        <f>'[4]1conso-YTD'!$N$113</f>
        <v>311.98563</v>
      </c>
      <c r="D53" s="76"/>
      <c r="E53" s="109">
        <f>'[6]1conso-YTD'!$Q$117</f>
        <v>191.86699</v>
      </c>
      <c r="F53" s="76"/>
      <c r="G53" s="109">
        <v>97</v>
      </c>
      <c r="H53" s="78"/>
    </row>
    <row r="54" spans="2:8" s="72" customFormat="1" ht="15">
      <c r="B54" s="75" t="s">
        <v>61</v>
      </c>
      <c r="C54" s="109">
        <f>'[4]1conso-YTD'!$N$114+5000</f>
        <v>17328.22855</v>
      </c>
      <c r="D54" s="76"/>
      <c r="E54" s="109">
        <f>'[6]1conso-YTD'!$Q$118</f>
        <v>10973.389599999999</v>
      </c>
      <c r="F54" s="76"/>
      <c r="G54" s="109">
        <v>16947</v>
      </c>
      <c r="H54" s="78"/>
    </row>
    <row r="55" spans="2:8" s="72" customFormat="1" ht="15.75" thickBot="1">
      <c r="B55" s="75" t="s">
        <v>62</v>
      </c>
      <c r="C55" s="109">
        <f>'[4]1conso-YTD'!$N$115</f>
        <v>1489.59725</v>
      </c>
      <c r="D55" s="76"/>
      <c r="E55" s="233">
        <v>0</v>
      </c>
      <c r="F55" s="76"/>
      <c r="G55" s="110">
        <v>367</v>
      </c>
      <c r="H55" s="78"/>
    </row>
    <row r="56" spans="2:8" s="72" customFormat="1" ht="15.75" thickBot="1">
      <c r="B56" s="78"/>
      <c r="C56" s="118">
        <f>SUM(C51:C55)</f>
        <v>29834.10697</v>
      </c>
      <c r="D56" s="80"/>
      <c r="E56" s="118">
        <f>SUM(E48:E55)</f>
        <v>79362.78303999998</v>
      </c>
      <c r="F56" s="80"/>
      <c r="G56" s="118">
        <f>SUM(G50:G55)</f>
        <v>34286</v>
      </c>
      <c r="H56" s="78"/>
    </row>
    <row r="57" spans="2:8" s="72" customFormat="1" ht="12.75" customHeight="1">
      <c r="B57" s="78"/>
      <c r="C57" s="111"/>
      <c r="D57" s="80"/>
      <c r="E57" s="111"/>
      <c r="F57" s="80"/>
      <c r="G57" s="111"/>
      <c r="H57" s="78"/>
    </row>
    <row r="58" spans="2:8" s="72" customFormat="1" ht="15.75">
      <c r="B58" s="81" t="s">
        <v>41</v>
      </c>
      <c r="C58" s="111">
        <f>+C56+C45</f>
        <v>47951.33398</v>
      </c>
      <c r="D58" s="80"/>
      <c r="E58" s="111">
        <f>+E56+E45</f>
        <v>103698.22753999998</v>
      </c>
      <c r="F58" s="80"/>
      <c r="G58" s="111">
        <f>G45+G56</f>
        <v>55357</v>
      </c>
      <c r="H58" s="78"/>
    </row>
    <row r="59" spans="3:8" s="72" customFormat="1" ht="12.75" customHeight="1">
      <c r="C59" s="111"/>
      <c r="D59" s="80"/>
      <c r="E59" s="111"/>
      <c r="F59" s="80"/>
      <c r="G59" s="111"/>
      <c r="H59" s="78"/>
    </row>
    <row r="60" spans="2:8" s="72" customFormat="1" ht="16.5" thickBot="1">
      <c r="B60" s="70" t="s">
        <v>42</v>
      </c>
      <c r="C60" s="112">
        <f>C58+C39</f>
        <v>107345.96241000001</v>
      </c>
      <c r="D60" s="73"/>
      <c r="E60" s="112">
        <f>E58+E39</f>
        <v>175091.79067999998</v>
      </c>
      <c r="F60" s="73"/>
      <c r="G60" s="112">
        <f>G39+G58</f>
        <v>125746</v>
      </c>
      <c r="H60" s="78"/>
    </row>
    <row r="61" spans="2:8" s="72" customFormat="1" ht="16.5" thickTop="1">
      <c r="B61" s="70"/>
      <c r="C61" s="76"/>
      <c r="D61" s="80"/>
      <c r="E61" s="80"/>
      <c r="F61" s="80"/>
      <c r="G61" s="76"/>
      <c r="H61" s="78"/>
    </row>
    <row r="62" spans="2:8" s="72" customFormat="1" ht="15.75">
      <c r="B62" s="70"/>
      <c r="D62" s="76"/>
      <c r="E62" s="76"/>
      <c r="F62" s="76"/>
      <c r="G62" s="76"/>
      <c r="H62" s="78"/>
    </row>
    <row r="63" spans="2:8" s="72" customFormat="1" ht="15" hidden="1">
      <c r="B63" s="72" t="s">
        <v>6</v>
      </c>
      <c r="C63" s="82" t="e">
        <f>+(+#REF!-C17+#REF!)/43560</f>
        <v>#REF!</v>
      </c>
      <c r="D63" s="82"/>
      <c r="E63" s="82"/>
      <c r="F63" s="82"/>
      <c r="G63" s="82" t="e">
        <f>+(+#REF!-G17+#REF!)/43560</f>
        <v>#REF!</v>
      </c>
      <c r="H63" s="78"/>
    </row>
    <row r="64" spans="2:8" s="72" customFormat="1" ht="15">
      <c r="B64" s="243" t="s">
        <v>132</v>
      </c>
      <c r="C64" s="82"/>
      <c r="D64" s="82"/>
      <c r="E64" s="82"/>
      <c r="F64" s="82"/>
      <c r="G64" s="82"/>
      <c r="H64" s="78"/>
    </row>
    <row r="65" spans="2:8" s="72" customFormat="1" ht="15">
      <c r="B65" s="243"/>
      <c r="C65" s="82">
        <f>+C36/90000</f>
        <v>0.6599666445444444</v>
      </c>
      <c r="D65" s="82"/>
      <c r="E65" s="82">
        <f>+E36/90000</f>
        <v>0.7932364282222222</v>
      </c>
      <c r="F65" s="82"/>
      <c r="G65" s="82">
        <f>G36/90000</f>
        <v>0.7820666666666667</v>
      </c>
      <c r="H65" s="78"/>
    </row>
    <row r="66" s="72" customFormat="1" ht="9.75" customHeight="1">
      <c r="B66" s="83"/>
    </row>
    <row r="67" spans="1:11" s="72" customFormat="1" ht="15">
      <c r="A67" s="84" t="s">
        <v>128</v>
      </c>
      <c r="B67" s="72" t="s">
        <v>220</v>
      </c>
      <c r="C67" s="85"/>
      <c r="D67" s="85"/>
      <c r="E67" s="85"/>
      <c r="F67" s="85"/>
      <c r="G67" s="85"/>
      <c r="H67" s="85"/>
      <c r="I67" s="85"/>
      <c r="J67" s="85"/>
      <c r="K67" s="85"/>
    </row>
    <row r="68" spans="2:11" s="72" customFormat="1" ht="15">
      <c r="B68" s="72" t="s">
        <v>252</v>
      </c>
      <c r="C68" s="85"/>
      <c r="D68" s="85"/>
      <c r="E68" s="85"/>
      <c r="F68" s="85"/>
      <c r="G68" s="85"/>
      <c r="H68" s="85"/>
      <c r="I68" s="85"/>
      <c r="J68" s="85"/>
      <c r="K68" s="85"/>
    </row>
    <row r="69" spans="2:11" s="72" customFormat="1" ht="15">
      <c r="B69" s="78"/>
      <c r="C69" s="85"/>
      <c r="D69" s="85"/>
      <c r="E69" s="85"/>
      <c r="F69" s="85"/>
      <c r="G69" s="85"/>
      <c r="H69" s="85"/>
      <c r="I69" s="85"/>
      <c r="J69" s="85"/>
      <c r="K69" s="85"/>
    </row>
    <row r="70" spans="1:9" s="72" customFormat="1" ht="15">
      <c r="A70" s="84" t="s">
        <v>129</v>
      </c>
      <c r="B70" s="72" t="s">
        <v>133</v>
      </c>
      <c r="C70" s="86"/>
      <c r="D70" s="86"/>
      <c r="E70" s="86"/>
      <c r="F70" s="86"/>
      <c r="G70" s="86"/>
      <c r="H70" s="86"/>
      <c r="I70" s="86"/>
    </row>
    <row r="71" spans="2:9" s="72" customFormat="1" ht="15">
      <c r="B71" s="87" t="s">
        <v>266</v>
      </c>
      <c r="C71" s="86"/>
      <c r="D71" s="86"/>
      <c r="E71" s="86"/>
      <c r="F71" s="86"/>
      <c r="G71" s="86"/>
      <c r="H71" s="86"/>
      <c r="I71" s="86"/>
    </row>
    <row r="72" spans="2:9" ht="12.75">
      <c r="B72" s="38"/>
      <c r="C72" s="11"/>
      <c r="D72" s="38"/>
      <c r="E72" s="38"/>
      <c r="F72" s="38"/>
      <c r="G72" s="38"/>
      <c r="H72" s="38"/>
      <c r="I72" s="38"/>
    </row>
    <row r="73" spans="1:3" ht="15">
      <c r="A73" s="84" t="s">
        <v>270</v>
      </c>
      <c r="B73" s="72" t="s">
        <v>272</v>
      </c>
      <c r="C73" s="135"/>
    </row>
    <row r="77" ht="12.75">
      <c r="C77" s="135"/>
    </row>
  </sheetData>
  <sheetProtection/>
  <mergeCells count="2">
    <mergeCell ref="B1:H1"/>
    <mergeCell ref="B64:B65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zoomScalePageLayoutView="0" workbookViewId="0" topLeftCell="A10">
      <selection activeCell="H20" sqref="H20"/>
    </sheetView>
  </sheetViews>
  <sheetFormatPr defaultColWidth="9.140625" defaultRowHeight="12.75"/>
  <cols>
    <col min="1" max="1" width="3.140625" style="93" customWidth="1"/>
    <col min="2" max="2" width="43.57421875" style="93" customWidth="1"/>
    <col min="3" max="6" width="18.7109375" style="93" customWidth="1"/>
    <col min="7" max="7" width="22.7109375" style="93" customWidth="1"/>
    <col min="8" max="8" width="18.7109375" style="93" customWidth="1"/>
    <col min="9" max="16384" width="9.140625" style="93" customWidth="1"/>
  </cols>
  <sheetData>
    <row r="1" ht="20.25">
      <c r="B1" s="92" t="str">
        <f>+'Income statement'!B1</f>
        <v>HANDAL RESOURCES  BERHAD (816839-X)</v>
      </c>
    </row>
    <row r="2" ht="15" customHeight="1"/>
    <row r="3" s="95" customFormat="1" ht="15">
      <c r="B3" s="94" t="s">
        <v>87</v>
      </c>
    </row>
    <row r="4" s="95" customFormat="1" ht="15" customHeight="1">
      <c r="B4" s="16" t="s">
        <v>253</v>
      </c>
    </row>
    <row r="5" s="95" customFormat="1" ht="15">
      <c r="B5" s="94"/>
    </row>
    <row r="6" s="95" customFormat="1" ht="15.75" thickBot="1">
      <c r="B6" s="94"/>
    </row>
    <row r="7" spans="3:8" s="95" customFormat="1" ht="20.25" customHeight="1" thickBot="1">
      <c r="C7" s="244" t="s">
        <v>124</v>
      </c>
      <c r="D7" s="245"/>
      <c r="E7" s="245"/>
      <c r="F7" s="245"/>
      <c r="G7" s="245"/>
      <c r="H7" s="246"/>
    </row>
    <row r="8" s="95" customFormat="1" ht="12.75" customHeight="1" hidden="1"/>
    <row r="9" s="95" customFormat="1" ht="12.75" customHeight="1" hidden="1"/>
    <row r="10" spans="3:8" s="95" customFormat="1" ht="15" customHeight="1">
      <c r="C10" s="96"/>
      <c r="D10" s="96"/>
      <c r="E10" s="96"/>
      <c r="F10" s="96"/>
      <c r="G10" s="91"/>
      <c r="H10" s="96"/>
    </row>
    <row r="11" spans="3:8" s="95" customFormat="1" ht="15" customHeight="1">
      <c r="C11" s="96"/>
      <c r="D11" s="96"/>
      <c r="E11" s="96"/>
      <c r="F11" s="96"/>
      <c r="G11" s="103"/>
      <c r="H11" s="103"/>
    </row>
    <row r="12" spans="3:8" s="95" customFormat="1" ht="15" customHeight="1">
      <c r="C12" s="96" t="s">
        <v>5</v>
      </c>
      <c r="D12" s="96" t="s">
        <v>10</v>
      </c>
      <c r="E12" s="104" t="s">
        <v>11</v>
      </c>
      <c r="F12" s="96" t="s">
        <v>155</v>
      </c>
      <c r="G12" s="104" t="s">
        <v>218</v>
      </c>
      <c r="H12" s="104" t="s">
        <v>63</v>
      </c>
    </row>
    <row r="13" spans="3:8" s="95" customFormat="1" ht="15" customHeight="1">
      <c r="C13" s="96"/>
      <c r="D13" s="96"/>
      <c r="E13" s="103"/>
      <c r="F13" s="96"/>
      <c r="G13" s="103"/>
      <c r="H13" s="103"/>
    </row>
    <row r="14" spans="3:8" s="95" customFormat="1" ht="15" customHeight="1">
      <c r="C14" s="96" t="s">
        <v>0</v>
      </c>
      <c r="D14" s="96" t="s">
        <v>0</v>
      </c>
      <c r="E14" s="96" t="s">
        <v>0</v>
      </c>
      <c r="F14" s="96" t="s">
        <v>0</v>
      </c>
      <c r="G14" s="96" t="s">
        <v>0</v>
      </c>
      <c r="H14" s="96" t="s">
        <v>3</v>
      </c>
    </row>
    <row r="15" spans="3:8" s="95" customFormat="1" ht="15" customHeight="1">
      <c r="C15" s="96"/>
      <c r="D15" s="96"/>
      <c r="E15" s="96"/>
      <c r="F15" s="96"/>
      <c r="G15" s="96"/>
      <c r="H15" s="96"/>
    </row>
    <row r="16" spans="2:8" s="95" customFormat="1" ht="15" customHeight="1">
      <c r="B16" s="94" t="s">
        <v>254</v>
      </c>
      <c r="C16" s="113">
        <v>45000</v>
      </c>
      <c r="D16" s="113">
        <v>1550</v>
      </c>
      <c r="E16" s="113">
        <f>23836460/1000</f>
        <v>23836.46</v>
      </c>
      <c r="F16" s="113">
        <f>SUM(C16:E16)</f>
        <v>70386.45999999999</v>
      </c>
      <c r="G16" s="113">
        <f>3285/1000</f>
        <v>3.285</v>
      </c>
      <c r="H16" s="113">
        <f>SUM(F16:G16)-1</f>
        <v>70388.745</v>
      </c>
    </row>
    <row r="17" spans="2:8" s="95" customFormat="1" ht="15" customHeight="1">
      <c r="B17" s="94"/>
      <c r="C17" s="113"/>
      <c r="D17" s="113"/>
      <c r="E17" s="113"/>
      <c r="F17" s="113"/>
      <c r="G17" s="113"/>
      <c r="H17" s="113"/>
    </row>
    <row r="18" spans="2:8" s="95" customFormat="1" ht="15" customHeight="1">
      <c r="B18" s="95" t="s">
        <v>256</v>
      </c>
      <c r="C18" s="97">
        <v>0</v>
      </c>
      <c r="D18" s="97">
        <v>0</v>
      </c>
      <c r="E18" s="97">
        <v>1005</v>
      </c>
      <c r="F18" s="97">
        <f>SUM(C18:E18)</f>
        <v>1005</v>
      </c>
      <c r="G18" s="97">
        <v>0</v>
      </c>
      <c r="H18" s="113">
        <f>SUM(F18:G18)</f>
        <v>1005</v>
      </c>
    </row>
    <row r="19" spans="3:8" s="95" customFormat="1" ht="15" customHeight="1">
      <c r="C19" s="97"/>
      <c r="D19" s="97"/>
      <c r="E19" s="97"/>
      <c r="F19" s="97"/>
      <c r="G19" s="97"/>
      <c r="H19" s="97"/>
    </row>
    <row r="20" spans="2:9" s="95" customFormat="1" ht="15" customHeight="1" thickBot="1">
      <c r="B20" s="94" t="s">
        <v>255</v>
      </c>
      <c r="C20" s="98">
        <f aca="true" t="shared" si="0" ref="C20:H20">SUM(C16:C19)</f>
        <v>45000</v>
      </c>
      <c r="D20" s="98">
        <f t="shared" si="0"/>
        <v>1550</v>
      </c>
      <c r="E20" s="98">
        <f t="shared" si="0"/>
        <v>24841.46</v>
      </c>
      <c r="F20" s="98">
        <f t="shared" si="0"/>
        <v>71391.45999999999</v>
      </c>
      <c r="G20" s="98">
        <f t="shared" si="0"/>
        <v>3.285</v>
      </c>
      <c r="H20" s="98">
        <f t="shared" si="0"/>
        <v>71393.745</v>
      </c>
      <c r="I20" s="99"/>
    </row>
    <row r="21" spans="3:8" s="95" customFormat="1" ht="15" customHeight="1" thickTop="1">
      <c r="C21" s="100"/>
      <c r="D21" s="100"/>
      <c r="E21" s="100"/>
      <c r="F21" s="100"/>
      <c r="G21" s="100"/>
      <c r="H21" s="100"/>
    </row>
    <row r="22" spans="3:14" s="95" customFormat="1" ht="15" customHeight="1">
      <c r="C22" s="100"/>
      <c r="D22" s="100"/>
      <c r="E22" s="100"/>
      <c r="F22" s="100"/>
      <c r="G22" s="100"/>
      <c r="N22" s="100"/>
    </row>
    <row r="23" spans="2:14" s="95" customFormat="1" ht="15" customHeight="1" hidden="1">
      <c r="B23" s="95" t="s">
        <v>121</v>
      </c>
      <c r="C23" s="100"/>
      <c r="D23" s="100"/>
      <c r="E23" s="100"/>
      <c r="F23" s="100"/>
      <c r="G23" s="100"/>
      <c r="I23" s="101"/>
      <c r="J23" s="101"/>
      <c r="K23" s="101"/>
      <c r="M23" s="101"/>
      <c r="N23" s="100"/>
    </row>
    <row r="24" spans="2:13" s="95" customFormat="1" ht="15" customHeight="1" hidden="1">
      <c r="B24" s="101"/>
      <c r="C24" s="100"/>
      <c r="D24" s="100"/>
      <c r="E24" s="100"/>
      <c r="F24" s="100"/>
      <c r="G24" s="100"/>
      <c r="H24" s="100"/>
      <c r="I24" s="101"/>
      <c r="J24" s="101"/>
      <c r="K24" s="101"/>
      <c r="L24" s="101"/>
      <c r="M24" s="101"/>
    </row>
    <row r="25" spans="2:7" ht="12.75" hidden="1">
      <c r="B25" s="102"/>
      <c r="C25" s="102"/>
      <c r="D25" s="102"/>
      <c r="E25" s="102"/>
      <c r="F25" s="102"/>
      <c r="G25" s="102"/>
    </row>
    <row r="26" spans="2:7" ht="12.75" hidden="1">
      <c r="B26" s="131" t="s">
        <v>151</v>
      </c>
      <c r="C26" s="102"/>
      <c r="D26" s="102"/>
      <c r="E26" s="102"/>
      <c r="F26" s="102"/>
      <c r="G26" s="102"/>
    </row>
    <row r="27" spans="2:7" ht="14.25" hidden="1">
      <c r="B27" s="129" t="s">
        <v>154</v>
      </c>
      <c r="C27" s="130"/>
      <c r="D27" s="130"/>
      <c r="E27" s="130"/>
      <c r="F27" s="130"/>
      <c r="G27" s="130"/>
    </row>
    <row r="28" spans="2:7" ht="14.25" hidden="1">
      <c r="B28" s="95" t="s">
        <v>152</v>
      </c>
      <c r="C28" s="95"/>
      <c r="D28" s="95"/>
      <c r="E28" s="95"/>
      <c r="F28" s="95"/>
      <c r="G28" s="95"/>
    </row>
    <row r="29" spans="2:7" ht="14.25">
      <c r="B29" s="95"/>
      <c r="C29" s="95"/>
      <c r="D29" s="95"/>
      <c r="E29" s="95"/>
      <c r="F29" s="95"/>
      <c r="G29" s="95"/>
    </row>
    <row r="30" spans="2:7" ht="14.25">
      <c r="B30" s="95" t="s">
        <v>229</v>
      </c>
      <c r="C30" s="95"/>
      <c r="D30" s="95"/>
      <c r="E30" s="95"/>
      <c r="F30" s="95"/>
      <c r="G30" s="95"/>
    </row>
    <row r="31" spans="2:7" ht="14.25">
      <c r="B31" s="95" t="s">
        <v>252</v>
      </c>
      <c r="C31" s="95"/>
      <c r="D31" s="95"/>
      <c r="E31" s="95"/>
      <c r="F31" s="95"/>
      <c r="G31" s="95"/>
    </row>
    <row r="32" ht="14.25">
      <c r="B32" s="101" t="s">
        <v>100</v>
      </c>
    </row>
    <row r="33" ht="14.25">
      <c r="B33" s="95"/>
    </row>
  </sheetData>
  <sheetProtection/>
  <mergeCells count="1">
    <mergeCell ref="C7:H7"/>
  </mergeCells>
  <printOptions gridLines="1"/>
  <pageMargins left="0.24" right="0.17" top="0.58" bottom="0.17" header="0.29" footer="0.1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88</v>
      </c>
      <c r="B3" s="12"/>
      <c r="C3" s="12"/>
      <c r="D3" s="12"/>
      <c r="E3" s="12"/>
      <c r="F3" s="12"/>
    </row>
    <row r="4" spans="1:6" ht="15" customHeight="1">
      <c r="A4" s="2" t="s">
        <v>85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26</v>
      </c>
    </row>
    <row r="6" spans="1:6" ht="15" customHeight="1">
      <c r="A6" s="2"/>
      <c r="B6" s="12"/>
      <c r="C6" s="12"/>
      <c r="D6" s="5" t="s">
        <v>13</v>
      </c>
      <c r="E6" s="12"/>
      <c r="F6" s="5" t="s">
        <v>27</v>
      </c>
    </row>
    <row r="7" spans="1:6" ht="15" customHeight="1">
      <c r="A7" s="2"/>
      <c r="B7" s="12"/>
      <c r="C7" s="12"/>
      <c r="D7" s="5" t="s">
        <v>12</v>
      </c>
      <c r="E7" s="12"/>
      <c r="F7" s="5" t="s">
        <v>99</v>
      </c>
    </row>
    <row r="8" spans="1:6" ht="15" customHeight="1">
      <c r="A8" s="2"/>
      <c r="B8" s="12"/>
      <c r="C8" s="12"/>
      <c r="D8" s="5" t="str">
        <f>'Income statement'!I12</f>
        <v>31 March 2011</v>
      </c>
      <c r="E8" s="12"/>
      <c r="F8" s="5" t="str">
        <f>'Income statement'!J12</f>
        <v>31 March 2010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64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66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65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67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69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68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103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89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90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104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105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70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98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106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71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45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72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107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73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91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74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75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76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108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77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92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78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93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109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110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111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47" t="s">
        <v>101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4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47" t="s">
        <v>102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4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97</v>
      </c>
      <c r="B70" s="12"/>
      <c r="C70" s="12"/>
      <c r="D70" s="12"/>
      <c r="E70" s="28"/>
      <c r="F70" s="12"/>
    </row>
    <row r="71" spans="1:6" ht="14.25">
      <c r="A71" s="12" t="s">
        <v>82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83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84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94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95</v>
      </c>
    </row>
    <row r="80" ht="12.75">
      <c r="A80" s="43" t="s">
        <v>53</v>
      </c>
    </row>
    <row r="81" ht="12.75">
      <c r="A81" s="43" t="s">
        <v>96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50" t="s">
        <v>18</v>
      </c>
      <c r="D6" s="251"/>
      <c r="E6" s="250" t="s">
        <v>19</v>
      </c>
      <c r="F6" s="251"/>
      <c r="H6" s="7"/>
    </row>
    <row r="7" spans="3:6" ht="12.75">
      <c r="C7" s="252" t="s">
        <v>20</v>
      </c>
      <c r="D7" s="252" t="s">
        <v>21</v>
      </c>
      <c r="E7" s="252" t="s">
        <v>23</v>
      </c>
      <c r="F7" s="252" t="s">
        <v>22</v>
      </c>
    </row>
    <row r="8" spans="3:6" ht="12.75">
      <c r="C8" s="252"/>
      <c r="D8" s="252"/>
      <c r="E8" s="252"/>
      <c r="F8" s="252"/>
    </row>
    <row r="9" spans="3:6" ht="12.75">
      <c r="C9" s="252"/>
      <c r="D9" s="252"/>
      <c r="E9" s="252"/>
      <c r="F9" s="252"/>
    </row>
    <row r="10" spans="3:6" ht="12.75">
      <c r="C10" s="5" t="str">
        <f>+'Income statement'!C12</f>
        <v>30 September 2010</v>
      </c>
      <c r="D10" s="5" t="str">
        <f>+'Income statement'!D12</f>
        <v>30 September 2009</v>
      </c>
      <c r="E10" s="5" t="str">
        <f>+C10</f>
        <v>30 September 2010</v>
      </c>
      <c r="F10" s="5" t="str">
        <f>+D10</f>
        <v>30 September 2009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>
        <f>+'Income statement'!C15</f>
        <v>70743</v>
      </c>
      <c r="D14" s="9">
        <f>+'Income statement'!D15</f>
        <v>23671</v>
      </c>
      <c r="E14" s="9">
        <f>+'Income statement'!I15</f>
        <v>16439.149960000002</v>
      </c>
      <c r="F14" s="9">
        <f>+'Income statement'!J15</f>
        <v>17123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43</v>
      </c>
      <c r="C16" s="9">
        <f>+'Income statement'!C29</f>
        <v>15806</v>
      </c>
      <c r="D16" s="9">
        <f>+'Income statement'!D29</f>
        <v>7578</v>
      </c>
      <c r="E16" s="9">
        <f>+'Income statement'!I29</f>
        <v>1211.3832500000026</v>
      </c>
      <c r="F16" s="9">
        <f>+'Income statement'!J29</f>
        <v>3663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48" t="s">
        <v>50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4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46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47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44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48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28</v>
      </c>
      <c r="F30" s="4" t="s">
        <v>30</v>
      </c>
    </row>
    <row r="31" spans="3:6" ht="12.75">
      <c r="C31" s="9"/>
      <c r="D31" s="9"/>
      <c r="E31" s="4" t="s">
        <v>29</v>
      </c>
      <c r="F31" s="4" t="s">
        <v>31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49" t="s">
        <v>49</v>
      </c>
      <c r="C33" s="9"/>
      <c r="D33" s="9"/>
      <c r="E33" s="10">
        <f>+'balance sheet'!C65</f>
        <v>0.6599666445444444</v>
      </c>
      <c r="F33" s="10">
        <f>+'balance sheet'!G65</f>
        <v>0.7820666666666667</v>
      </c>
    </row>
    <row r="34" spans="2:6" ht="12.75">
      <c r="B34" s="249"/>
      <c r="C34" s="9"/>
      <c r="D34" s="9"/>
      <c r="E34" s="9"/>
      <c r="F34" s="9"/>
    </row>
    <row r="35" spans="2:6" ht="12.75">
      <c r="B35" s="24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63" customWidth="1"/>
    <col min="4" max="4" width="17.8515625" style="163" customWidth="1"/>
    <col min="5" max="5" width="11.00390625" style="0" customWidth="1"/>
  </cols>
  <sheetData>
    <row r="1" ht="15">
      <c r="B1" s="16" t="s">
        <v>176</v>
      </c>
    </row>
    <row r="2" ht="15">
      <c r="B2" s="16" t="s">
        <v>177</v>
      </c>
    </row>
    <row r="3" ht="15">
      <c r="B3" s="16" t="s">
        <v>178</v>
      </c>
    </row>
    <row r="4" ht="15">
      <c r="B4" s="16"/>
    </row>
    <row r="5" ht="15">
      <c r="B5" s="16" t="s">
        <v>179</v>
      </c>
    </row>
    <row r="6" ht="15">
      <c r="B6" s="16" t="s">
        <v>180</v>
      </c>
    </row>
    <row r="7" ht="14.25">
      <c r="B7" s="160"/>
    </row>
    <row r="8" spans="2:4" ht="15">
      <c r="B8" s="24"/>
      <c r="C8" s="17" t="s">
        <v>181</v>
      </c>
      <c r="D8" s="17">
        <v>2009</v>
      </c>
    </row>
    <row r="9" spans="2:4" ht="15">
      <c r="B9" s="24"/>
      <c r="C9" s="17"/>
      <c r="D9" s="17" t="s">
        <v>182</v>
      </c>
    </row>
    <row r="10" spans="2:4" ht="14.25">
      <c r="B10" s="20"/>
      <c r="C10" s="19"/>
      <c r="D10" s="19"/>
    </row>
    <row r="11" spans="2:4" ht="14.25">
      <c r="B11" s="20" t="s">
        <v>64</v>
      </c>
      <c r="C11" s="19"/>
      <c r="D11" s="19"/>
    </row>
    <row r="12" spans="2:4" ht="14.25">
      <c r="B12" s="20" t="s">
        <v>2</v>
      </c>
      <c r="C12" s="19"/>
      <c r="D12" s="16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65</v>
      </c>
      <c r="C16" s="19"/>
      <c r="D16" s="165">
        <v>1410509</v>
      </c>
    </row>
    <row r="17" spans="2:4" ht="14.25">
      <c r="B17" s="20" t="s">
        <v>66</v>
      </c>
      <c r="C17" s="19"/>
      <c r="D17" s="165">
        <v>968612</v>
      </c>
    </row>
    <row r="18" spans="2:4" ht="14.25">
      <c r="B18" s="20" t="s">
        <v>183</v>
      </c>
      <c r="C18" s="19"/>
      <c r="D18" s="165">
        <v>48152</v>
      </c>
    </row>
    <row r="19" spans="2:4" ht="14.25">
      <c r="B19" s="20" t="s">
        <v>67</v>
      </c>
      <c r="C19" s="19"/>
      <c r="D19" s="165">
        <v>29548</v>
      </c>
    </row>
    <row r="20" spans="2:4" ht="14.25">
      <c r="B20" s="20" t="s">
        <v>184</v>
      </c>
      <c r="C20" s="19"/>
      <c r="D20" s="165">
        <v>-38068</v>
      </c>
    </row>
    <row r="21" spans="2:4" ht="14.25">
      <c r="B21" s="20" t="s">
        <v>68</v>
      </c>
      <c r="C21" s="19"/>
      <c r="D21" s="165">
        <v>-381336</v>
      </c>
    </row>
    <row r="22" spans="2:5" ht="15" thickBot="1">
      <c r="B22" s="20" t="s">
        <v>185</v>
      </c>
      <c r="C22" s="19"/>
      <c r="D22" s="16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65">
        <v>14683053</v>
      </c>
    </row>
    <row r="25" spans="2:4" ht="14.25">
      <c r="B25" s="20"/>
      <c r="C25" s="19"/>
      <c r="D25" s="19"/>
    </row>
    <row r="26" spans="2:4" ht="14.25">
      <c r="B26" s="24" t="s">
        <v>186</v>
      </c>
      <c r="C26" s="19"/>
      <c r="D26" s="165">
        <v>1005378</v>
      </c>
    </row>
    <row r="27" spans="2:4" ht="14.25">
      <c r="B27" s="24" t="s">
        <v>187</v>
      </c>
      <c r="C27" s="19"/>
      <c r="D27" s="165">
        <v>2638376</v>
      </c>
    </row>
    <row r="28" spans="2:4" ht="14.25">
      <c r="B28" s="20" t="s">
        <v>146</v>
      </c>
      <c r="C28" s="19"/>
      <c r="D28" s="165">
        <v>-3186200</v>
      </c>
    </row>
    <row r="29" spans="2:4" ht="28.5">
      <c r="B29" s="20" t="s">
        <v>188</v>
      </c>
      <c r="C29" s="19"/>
      <c r="D29" s="165">
        <v>-1774921</v>
      </c>
    </row>
    <row r="30" spans="2:4" ht="28.5">
      <c r="B30" s="20" t="s">
        <v>134</v>
      </c>
      <c r="C30" s="19"/>
      <c r="D30" s="165">
        <v>1373389</v>
      </c>
    </row>
    <row r="31" spans="2:4" ht="14.25">
      <c r="B31" s="20" t="s">
        <v>70</v>
      </c>
      <c r="C31" s="19"/>
      <c r="D31" s="165">
        <v>189777</v>
      </c>
    </row>
    <row r="32" spans="2:4" ht="15" thickBot="1">
      <c r="B32" s="20" t="s">
        <v>135</v>
      </c>
      <c r="C32" s="19"/>
      <c r="D32" s="166">
        <v>-271731</v>
      </c>
    </row>
    <row r="33" spans="2:4" ht="14.25">
      <c r="B33" s="24"/>
      <c r="C33" s="19"/>
      <c r="D33" s="19"/>
    </row>
    <row r="34" spans="2:4" ht="14.25">
      <c r="B34" s="24" t="s">
        <v>189</v>
      </c>
      <c r="C34" s="19"/>
      <c r="D34" s="16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65">
        <v>-134101</v>
      </c>
    </row>
    <row r="37" spans="2:4" ht="15" thickBot="1">
      <c r="B37" s="18" t="s">
        <v>71</v>
      </c>
      <c r="C37" s="19"/>
      <c r="D37" s="166">
        <v>-3491456</v>
      </c>
    </row>
    <row r="38" spans="2:4" ht="14.25">
      <c r="B38" s="18"/>
      <c r="C38" s="19"/>
      <c r="D38" s="19"/>
    </row>
    <row r="39" spans="2:4" ht="15" thickBot="1">
      <c r="B39" s="18" t="s">
        <v>45</v>
      </c>
      <c r="C39" s="19"/>
      <c r="D39" s="166">
        <v>11031564</v>
      </c>
    </row>
    <row r="40" spans="2:4" ht="14.25">
      <c r="B40" s="18"/>
      <c r="C40" s="19"/>
      <c r="D40" s="19"/>
    </row>
    <row r="41" spans="2:4" ht="15">
      <c r="B41" s="18" t="s">
        <v>72</v>
      </c>
      <c r="C41" s="19"/>
      <c r="D41" s="17"/>
    </row>
    <row r="42" spans="2:4" ht="14.25">
      <c r="B42" s="18" t="s">
        <v>190</v>
      </c>
      <c r="C42" s="19"/>
      <c r="D42" s="19"/>
    </row>
    <row r="43" spans="2:4" ht="14.25">
      <c r="B43" s="18" t="s">
        <v>191</v>
      </c>
      <c r="C43" s="19">
        <v>17</v>
      </c>
      <c r="D43" s="165">
        <v>15479479</v>
      </c>
    </row>
    <row r="44" spans="2:4" ht="14.25">
      <c r="B44" s="18" t="s">
        <v>192</v>
      </c>
      <c r="C44" s="19"/>
      <c r="D44" s="165">
        <v>381336</v>
      </c>
    </row>
    <row r="45" spans="2:4" ht="14.25">
      <c r="B45" s="18" t="s">
        <v>193</v>
      </c>
      <c r="C45" s="19"/>
      <c r="D45" s="165">
        <v>38068</v>
      </c>
    </row>
    <row r="46" spans="2:4" ht="14.25">
      <c r="B46" s="18" t="s">
        <v>91</v>
      </c>
      <c r="C46" s="19"/>
      <c r="D46" s="165">
        <v>-500682</v>
      </c>
    </row>
    <row r="47" spans="2:4" ht="15" thickBot="1">
      <c r="B47" s="18" t="s">
        <v>74</v>
      </c>
      <c r="C47" s="19">
        <v>25</v>
      </c>
      <c r="D47" s="165">
        <v>-11636454</v>
      </c>
    </row>
    <row r="48" spans="2:4" ht="15">
      <c r="B48" s="18"/>
      <c r="C48" s="19"/>
      <c r="D48" s="167"/>
    </row>
    <row r="49" spans="2:4" ht="15" thickBot="1">
      <c r="B49" s="18" t="s">
        <v>194</v>
      </c>
      <c r="C49" s="19"/>
      <c r="D49" s="166">
        <v>3761747</v>
      </c>
    </row>
    <row r="50" spans="2:4" ht="12.75">
      <c r="B50" s="161"/>
      <c r="C50" s="164"/>
      <c r="D50" s="164"/>
    </row>
    <row r="51" spans="2:5" ht="15">
      <c r="B51" s="20"/>
      <c r="C51" s="19"/>
      <c r="D51" s="17"/>
      <c r="E51" s="162"/>
    </row>
    <row r="52" spans="2:5" ht="15">
      <c r="B52" s="20" t="s">
        <v>76</v>
      </c>
      <c r="C52" s="19"/>
      <c r="D52" s="17"/>
      <c r="E52" s="162"/>
    </row>
    <row r="53" spans="2:5" ht="15">
      <c r="B53" s="20" t="s">
        <v>195</v>
      </c>
      <c r="C53" s="19"/>
      <c r="D53" s="165">
        <v>13320000</v>
      </c>
      <c r="E53" s="162"/>
    </row>
    <row r="54" spans="2:5" ht="15">
      <c r="B54" s="20" t="s">
        <v>196</v>
      </c>
      <c r="C54" s="19"/>
      <c r="D54" s="165">
        <v>1785884</v>
      </c>
      <c r="E54" s="162"/>
    </row>
    <row r="55" spans="2:5" ht="15">
      <c r="B55" s="20" t="s">
        <v>77</v>
      </c>
      <c r="C55" s="19"/>
      <c r="D55" s="165">
        <v>-9886</v>
      </c>
      <c r="E55" s="162"/>
    </row>
    <row r="56" spans="2:5" ht="15">
      <c r="B56" s="20" t="s">
        <v>197</v>
      </c>
      <c r="C56" s="19"/>
      <c r="D56" s="165">
        <v>-26016</v>
      </c>
      <c r="E56" s="162"/>
    </row>
    <row r="57" spans="2:5" ht="15">
      <c r="B57" s="20" t="s">
        <v>78</v>
      </c>
      <c r="C57" s="19"/>
      <c r="D57" s="165">
        <v>-63273</v>
      </c>
      <c r="E57" s="162"/>
    </row>
    <row r="58" spans="2:5" ht="15">
      <c r="B58" s="20" t="s">
        <v>198</v>
      </c>
      <c r="C58" s="19"/>
      <c r="D58" s="165">
        <v>-666770</v>
      </c>
      <c r="E58" s="162"/>
    </row>
    <row r="59" spans="2:5" ht="15">
      <c r="B59" s="20" t="s">
        <v>199</v>
      </c>
      <c r="C59" s="19"/>
      <c r="D59" s="165">
        <v>-2520424</v>
      </c>
      <c r="E59" s="162"/>
    </row>
    <row r="60" spans="2:5" ht="15">
      <c r="B60" s="20" t="s">
        <v>200</v>
      </c>
      <c r="C60" s="19"/>
      <c r="D60" s="165">
        <v>-2812839</v>
      </c>
      <c r="E60" s="162"/>
    </row>
    <row r="61" spans="2:5" ht="15.75" thickBot="1">
      <c r="B61" s="20" t="s">
        <v>201</v>
      </c>
      <c r="C61" s="19"/>
      <c r="D61" s="166">
        <v>-5000000</v>
      </c>
      <c r="E61" s="162"/>
    </row>
    <row r="62" spans="2:5" ht="15">
      <c r="B62" s="20"/>
      <c r="C62" s="19"/>
      <c r="D62" s="19"/>
      <c r="E62" s="162"/>
    </row>
    <row r="63" spans="2:5" ht="15.75" thickBot="1">
      <c r="B63" s="20" t="s">
        <v>202</v>
      </c>
      <c r="C63" s="19"/>
      <c r="D63" s="166">
        <v>4006676</v>
      </c>
      <c r="E63" s="162"/>
    </row>
    <row r="64" spans="2:5" ht="15">
      <c r="B64" s="20"/>
      <c r="C64" s="19"/>
      <c r="D64" s="17"/>
      <c r="E64" s="162"/>
    </row>
    <row r="65" spans="2:5" ht="14.25">
      <c r="B65" s="20" t="s">
        <v>203</v>
      </c>
      <c r="C65" s="19"/>
      <c r="D65" s="165">
        <v>18799987</v>
      </c>
      <c r="E65" s="24"/>
    </row>
    <row r="66" spans="2:5" ht="15">
      <c r="B66" s="20"/>
      <c r="C66" s="19"/>
      <c r="D66" s="19"/>
      <c r="E66" s="162"/>
    </row>
    <row r="67" spans="2:5" ht="28.5">
      <c r="B67" s="20" t="s">
        <v>204</v>
      </c>
      <c r="C67" s="19"/>
      <c r="D67" s="19"/>
      <c r="E67" s="162"/>
    </row>
    <row r="68" spans="2:5" ht="15.75" thickBot="1">
      <c r="B68" s="20"/>
      <c r="C68" s="19"/>
      <c r="D68" s="168">
        <v>2</v>
      </c>
      <c r="E68" s="162"/>
    </row>
    <row r="69" spans="2:5" ht="15">
      <c r="B69" s="20"/>
      <c r="C69" s="19"/>
      <c r="D69" s="19"/>
      <c r="E69" s="162"/>
    </row>
    <row r="70" spans="2:5" ht="15.75" thickBot="1">
      <c r="B70" s="20" t="s">
        <v>205</v>
      </c>
      <c r="C70" s="19">
        <v>26</v>
      </c>
      <c r="D70" s="169">
        <v>18799989</v>
      </c>
      <c r="E70" s="162"/>
    </row>
    <row r="71" spans="2:5" ht="13.5" thickTop="1">
      <c r="B71" s="161"/>
      <c r="C71" s="164"/>
      <c r="D71" s="164"/>
      <c r="E71" s="161"/>
    </row>
    <row r="72" ht="14.25">
      <c r="B72" s="60"/>
    </row>
    <row r="73" ht="14.25">
      <c r="B73" s="51"/>
    </row>
    <row r="74" ht="14.25">
      <c r="B74" s="51"/>
    </row>
    <row r="75" spans="2:4" ht="15">
      <c r="B75" s="171" t="s">
        <v>215</v>
      </c>
      <c r="C75"/>
      <c r="D75"/>
    </row>
    <row r="76" spans="2:4" ht="14.25">
      <c r="B76" s="160"/>
      <c r="C76"/>
      <c r="D76"/>
    </row>
    <row r="77" spans="2:4" ht="42.75">
      <c r="B77" s="160" t="s">
        <v>206</v>
      </c>
      <c r="C77"/>
      <c r="D77"/>
    </row>
    <row r="78" spans="2:4" ht="14.25">
      <c r="B78" s="160"/>
      <c r="C78"/>
      <c r="D78"/>
    </row>
    <row r="79" spans="2:7" ht="15.75" thickBot="1">
      <c r="B79" s="25"/>
      <c r="D79" s="172" t="s">
        <v>207</v>
      </c>
      <c r="E79" s="173"/>
      <c r="F79" s="253"/>
      <c r="G79" s="253"/>
    </row>
    <row r="80" spans="2:7" ht="15">
      <c r="B80" s="25"/>
      <c r="D80" s="17">
        <v>2009</v>
      </c>
      <c r="E80" s="173"/>
      <c r="F80" s="174"/>
      <c r="G80" s="173"/>
    </row>
    <row r="81" spans="2:7" ht="15">
      <c r="B81" s="20"/>
      <c r="D81" s="17" t="s">
        <v>182</v>
      </c>
      <c r="E81" s="173"/>
      <c r="F81" s="174"/>
      <c r="G81" s="173"/>
    </row>
    <row r="82" spans="2:7" ht="15">
      <c r="B82" s="20"/>
      <c r="D82" s="17"/>
      <c r="E82" s="173"/>
      <c r="F82" s="174"/>
      <c r="G82" s="174"/>
    </row>
    <row r="83" spans="2:7" ht="14.25">
      <c r="B83" s="20" t="s">
        <v>208</v>
      </c>
      <c r="D83" s="165">
        <v>8538068</v>
      </c>
      <c r="E83" s="175"/>
      <c r="F83" s="176"/>
      <c r="G83" s="176"/>
    </row>
    <row r="84" spans="2:7" ht="15">
      <c r="B84" s="20" t="s">
        <v>209</v>
      </c>
      <c r="D84" s="17"/>
      <c r="E84" s="173"/>
      <c r="F84" s="174"/>
      <c r="G84" s="174"/>
    </row>
    <row r="85" spans="2:7" ht="14.25">
      <c r="B85" s="20" t="s">
        <v>210</v>
      </c>
      <c r="D85" s="165">
        <v>19711108</v>
      </c>
      <c r="E85" s="176"/>
      <c r="F85" s="177"/>
      <c r="G85" s="176"/>
    </row>
    <row r="86" spans="2:7" ht="14.25">
      <c r="B86" s="20" t="s">
        <v>211</v>
      </c>
      <c r="D86" s="165">
        <v>3199333</v>
      </c>
      <c r="E86" s="175"/>
      <c r="F86" s="177"/>
      <c r="G86" s="176"/>
    </row>
    <row r="87" spans="2:7" ht="15" thickBot="1">
      <c r="B87" s="20" t="s">
        <v>212</v>
      </c>
      <c r="D87" s="166">
        <v>-3959186</v>
      </c>
      <c r="E87" s="176"/>
      <c r="F87" s="177"/>
      <c r="G87" s="176"/>
    </row>
    <row r="88" spans="2:7" ht="14.25">
      <c r="B88" s="20"/>
      <c r="D88" s="19"/>
      <c r="E88" s="176"/>
      <c r="F88" s="177"/>
      <c r="G88" s="176"/>
    </row>
    <row r="89" spans="2:7" ht="14.25">
      <c r="B89" s="20"/>
      <c r="D89" s="165">
        <v>27489323</v>
      </c>
      <c r="E89" s="175"/>
      <c r="F89" s="177"/>
      <c r="G89" s="176"/>
    </row>
    <row r="90" spans="2:7" ht="15">
      <c r="B90" s="20" t="s">
        <v>213</v>
      </c>
      <c r="D90" s="17"/>
      <c r="E90" s="173"/>
      <c r="F90" s="174"/>
      <c r="G90" s="173"/>
    </row>
    <row r="91" spans="2:7" ht="15" thickBot="1">
      <c r="B91" s="20" t="s">
        <v>214</v>
      </c>
      <c r="D91" s="166">
        <v>-8689334</v>
      </c>
      <c r="E91" s="178"/>
      <c r="F91" s="178"/>
      <c r="G91" s="176"/>
    </row>
    <row r="92" spans="2:7" ht="14.25">
      <c r="B92" s="20"/>
      <c r="D92" s="19"/>
      <c r="E92" s="178"/>
      <c r="F92" s="178"/>
      <c r="G92" s="176"/>
    </row>
    <row r="93" spans="2:7" ht="15" thickBot="1">
      <c r="B93" s="20"/>
      <c r="D93" s="169">
        <v>18799989</v>
      </c>
      <c r="E93" s="179"/>
      <c r="F93" s="178"/>
      <c r="G93" s="176"/>
    </row>
    <row r="94" spans="2:4" ht="15" thickTop="1">
      <c r="B94" s="16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9"/>
  <sheetViews>
    <sheetView zoomScalePageLayoutView="0" workbookViewId="0" topLeftCell="A42">
      <selection activeCell="B54" sqref="B54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4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88</v>
      </c>
      <c r="G3" s="205"/>
    </row>
    <row r="4" spans="2:10" s="51" customFormat="1" ht="15" customHeight="1">
      <c r="B4" s="16" t="s">
        <v>258</v>
      </c>
      <c r="E4" s="39"/>
      <c r="F4" s="39"/>
      <c r="G4" s="206"/>
      <c r="H4" s="39"/>
      <c r="I4" s="39"/>
      <c r="J4" s="39"/>
    </row>
    <row r="5" spans="2:10" s="51" customFormat="1" ht="15" customHeight="1">
      <c r="B5" s="16"/>
      <c r="E5" s="240" t="s">
        <v>216</v>
      </c>
      <c r="F5" s="56"/>
      <c r="G5" s="240" t="s">
        <v>262</v>
      </c>
      <c r="I5" s="240" t="s">
        <v>259</v>
      </c>
      <c r="J5" s="240" t="s">
        <v>217</v>
      </c>
    </row>
    <row r="6" spans="2:10" s="51" customFormat="1" ht="15" customHeight="1">
      <c r="B6" s="16"/>
      <c r="E6" s="240"/>
      <c r="F6" s="56"/>
      <c r="G6" s="240"/>
      <c r="I6" s="255"/>
      <c r="J6" s="255"/>
    </row>
    <row r="7" spans="2:10" s="51" customFormat="1" ht="15" customHeight="1">
      <c r="B7" s="16"/>
      <c r="E7" s="240"/>
      <c r="F7" s="56"/>
      <c r="G7" s="240"/>
      <c r="I7" s="255"/>
      <c r="J7" s="255"/>
    </row>
    <row r="8" spans="2:10" s="51" customFormat="1" ht="45" customHeight="1">
      <c r="B8" s="16"/>
      <c r="E8" s="240"/>
      <c r="F8" s="56"/>
      <c r="G8" s="240"/>
      <c r="I8" s="255"/>
      <c r="J8" s="255"/>
    </row>
    <row r="9" spans="2:10" s="51" customFormat="1" ht="15" customHeight="1">
      <c r="B9" s="16"/>
      <c r="E9" s="58" t="s">
        <v>3</v>
      </c>
      <c r="F9" s="58"/>
      <c r="G9" s="207" t="s">
        <v>3</v>
      </c>
      <c r="I9" s="203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208"/>
      <c r="H10" s="16"/>
      <c r="I10" s="16"/>
      <c r="J10" s="17"/>
    </row>
    <row r="11" spans="2:10" s="51" customFormat="1" ht="15" customHeight="1">
      <c r="B11" s="18"/>
      <c r="C11" s="19"/>
      <c r="D11" s="17"/>
      <c r="E11" s="17"/>
      <c r="F11" s="17"/>
      <c r="G11" s="209"/>
      <c r="H11" s="17"/>
      <c r="I11" s="17"/>
      <c r="J11" s="17"/>
    </row>
    <row r="12" spans="2:10" s="51" customFormat="1" ht="12.75" customHeight="1">
      <c r="B12" s="15" t="s">
        <v>64</v>
      </c>
      <c r="C12" s="15"/>
      <c r="D12" s="15"/>
      <c r="E12" s="15"/>
      <c r="F12" s="15"/>
      <c r="G12" s="210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'[5]cashflow.'!$U$8</f>
        <v>2912</v>
      </c>
      <c r="F13" s="21"/>
      <c r="G13" s="211">
        <f>'[7]Sheet2'!$U$8</f>
        <v>1210.732</v>
      </c>
      <c r="H13" s="21"/>
      <c r="I13" s="21">
        <v>2913</v>
      </c>
      <c r="J13" s="21">
        <f>'CF12.09'!D12/1000</f>
        <v>13768.765</v>
      </c>
      <c r="K13" s="199"/>
    </row>
    <row r="14" spans="2:11" s="51" customFormat="1" ht="14.25">
      <c r="B14" s="20"/>
      <c r="C14" s="19"/>
      <c r="D14" s="19"/>
      <c r="E14" s="21"/>
      <c r="F14" s="21"/>
      <c r="G14" s="211"/>
      <c r="H14" s="21"/>
      <c r="I14" s="21"/>
      <c r="J14" s="21"/>
      <c r="K14" s="199"/>
    </row>
    <row r="15" spans="2:11" s="51" customFormat="1" ht="15" thickBot="1">
      <c r="B15" s="228" t="s">
        <v>112</v>
      </c>
      <c r="C15" s="19"/>
      <c r="D15" s="19"/>
      <c r="E15" s="21" t="e">
        <f>'[5]cashflow.'!$V$17</f>
        <v>#REF!</v>
      </c>
      <c r="F15" s="21"/>
      <c r="G15" s="211">
        <f>'[7]Sheet2'!$V$20</f>
        <v>1216.41818</v>
      </c>
      <c r="H15" s="21"/>
      <c r="I15" s="22">
        <v>1131</v>
      </c>
      <c r="J15" s="22">
        <f>'CF12.09'!E22/1000</f>
        <v>914.288</v>
      </c>
      <c r="K15" s="199"/>
    </row>
    <row r="16" spans="2:11" s="51" customFormat="1" ht="14.25">
      <c r="B16" s="229"/>
      <c r="C16" s="19"/>
      <c r="D16" s="19"/>
      <c r="E16" s="23"/>
      <c r="F16" s="28"/>
      <c r="G16" s="212"/>
      <c r="H16" s="28"/>
      <c r="I16" s="28"/>
      <c r="J16" s="21"/>
      <c r="K16" s="199"/>
    </row>
    <row r="17" spans="2:11" s="51" customFormat="1" ht="15.75" customHeight="1">
      <c r="B17" s="228" t="s">
        <v>8</v>
      </c>
      <c r="C17" s="19"/>
      <c r="D17" s="19"/>
      <c r="E17" s="49">
        <f>'[5]cashflow.'!$U$21</f>
        <v>3906</v>
      </c>
      <c r="F17" s="49"/>
      <c r="G17" s="213">
        <f>SUM(G13:G15)</f>
        <v>2427.1501799999996</v>
      </c>
      <c r="H17" s="21"/>
      <c r="I17" s="49">
        <f>SUM(I13:I15)</f>
        <v>4044</v>
      </c>
      <c r="J17" s="49">
        <f>'CF12.09'!D24/1000</f>
        <v>14683.053</v>
      </c>
      <c r="K17" s="199"/>
    </row>
    <row r="18" spans="2:15" s="51" customFormat="1" ht="14.25">
      <c r="B18" s="230"/>
      <c r="C18" s="24"/>
      <c r="D18" s="24"/>
      <c r="E18" s="21"/>
      <c r="F18" s="21"/>
      <c r="G18" s="211"/>
      <c r="H18" s="21"/>
      <c r="I18" s="21"/>
      <c r="J18" s="21"/>
      <c r="K18" s="225"/>
      <c r="L18" s="19"/>
      <c r="M18" s="19"/>
      <c r="N18" s="19"/>
      <c r="O18" s="19"/>
    </row>
    <row r="19" spans="2:12" s="51" customFormat="1" ht="14.25" customHeight="1" hidden="1">
      <c r="B19" s="41" t="s">
        <v>89</v>
      </c>
      <c r="C19" s="24"/>
      <c r="D19" s="24"/>
      <c r="E19" s="21">
        <f>'[1]cashflow.'!D22</f>
        <v>0</v>
      </c>
      <c r="F19" s="21"/>
      <c r="G19" s="211" t="e">
        <f>'[1]cashflow.'!F22</f>
        <v>#REF!</v>
      </c>
      <c r="H19" s="21"/>
      <c r="I19" s="21"/>
      <c r="J19" s="21" t="s">
        <v>24</v>
      </c>
      <c r="K19" s="225"/>
      <c r="L19" s="19"/>
    </row>
    <row r="20" spans="2:12" s="51" customFormat="1" ht="14.25" customHeight="1">
      <c r="B20" s="41" t="s">
        <v>242</v>
      </c>
      <c r="C20" s="24"/>
      <c r="D20" s="24"/>
      <c r="E20" s="21">
        <f>'[5]cashflow.'!$U$23</f>
        <v>312.60903000000053</v>
      </c>
      <c r="F20" s="21"/>
      <c r="G20" s="211">
        <f>'[7]Sheet2'!$U$24</f>
        <v>-1532.5723000000007</v>
      </c>
      <c r="H20" s="21"/>
      <c r="I20" s="21">
        <v>313</v>
      </c>
      <c r="J20" s="21">
        <f>'CF12.09'!D26/1000</f>
        <v>1005.378</v>
      </c>
      <c r="K20" s="225"/>
      <c r="L20" s="19"/>
    </row>
    <row r="21" spans="2:12" s="51" customFormat="1" ht="14.25" customHeight="1">
      <c r="B21" s="41" t="s">
        <v>243</v>
      </c>
      <c r="C21" s="24"/>
      <c r="D21" s="24"/>
      <c r="E21" s="21">
        <f>'[5]cashflow.'!$U$24</f>
        <v>-1741.777379999996</v>
      </c>
      <c r="F21" s="21"/>
      <c r="G21" s="211">
        <f>'[7]Sheet2'!$U$25</f>
        <v>-3971.7166599999928</v>
      </c>
      <c r="H21" s="21"/>
      <c r="I21" s="21">
        <v>-1742</v>
      </c>
      <c r="J21" s="21">
        <f>'CF12.09'!D27/1000</f>
        <v>2638.376</v>
      </c>
      <c r="K21" s="225"/>
      <c r="L21" s="19"/>
    </row>
    <row r="22" spans="2:12" s="51" customFormat="1" ht="14.25" customHeight="1">
      <c r="B22" s="41" t="s">
        <v>263</v>
      </c>
      <c r="C22" s="24"/>
      <c r="D22" s="24"/>
      <c r="E22" s="21">
        <f>'[5]cashflow.'!$U$25</f>
        <v>-1991.7909599999984</v>
      </c>
      <c r="F22" s="21"/>
      <c r="G22" s="211">
        <f>'[7]Sheet2'!$U$26</f>
        <v>5044.761929999992</v>
      </c>
      <c r="H22" s="21"/>
      <c r="I22" s="21">
        <v>-1739</v>
      </c>
      <c r="J22" s="21">
        <f>'CF12.09'!D28/1000</f>
        <v>-3186.2</v>
      </c>
      <c r="K22" s="225"/>
      <c r="L22" s="19"/>
    </row>
    <row r="23" spans="2:12" s="51" customFormat="1" ht="14.25" customHeight="1">
      <c r="B23" s="229" t="s">
        <v>244</v>
      </c>
      <c r="C23" s="24"/>
      <c r="D23" s="24"/>
      <c r="E23" s="21">
        <f>'[5]cashflow.'!$U$26</f>
        <v>770.346</v>
      </c>
      <c r="F23" s="21"/>
      <c r="G23" s="211">
        <f>'[7]Sheet2'!$U$27</f>
        <v>2212.226</v>
      </c>
      <c r="H23" s="21"/>
      <c r="I23" s="21">
        <v>770</v>
      </c>
      <c r="J23" s="21">
        <f>'CF12.09'!D29/1000</f>
        <v>-1774.921</v>
      </c>
      <c r="K23" s="225"/>
      <c r="L23" s="19"/>
    </row>
    <row r="24" spans="2:12" s="51" customFormat="1" ht="14.25" customHeight="1">
      <c r="B24" s="41" t="s">
        <v>245</v>
      </c>
      <c r="C24" s="20"/>
      <c r="D24" s="20"/>
      <c r="E24" s="21">
        <f>'[5]cashflow.'!$U$27</f>
        <v>8.91215000000011</v>
      </c>
      <c r="F24" s="21"/>
      <c r="G24" s="211">
        <f>'[7]Sheet2'!$U$28</f>
        <v>-1674.8489300000003</v>
      </c>
      <c r="H24" s="21"/>
      <c r="I24" s="21">
        <v>9</v>
      </c>
      <c r="J24" s="21">
        <f>'CF12.09'!D30/1000</f>
        <v>1373.389</v>
      </c>
      <c r="K24" s="225"/>
      <c r="L24" s="19"/>
    </row>
    <row r="25" spans="2:12" s="51" customFormat="1" ht="14.25" customHeight="1">
      <c r="B25" s="41" t="s">
        <v>264</v>
      </c>
      <c r="C25" s="20"/>
      <c r="D25" s="20"/>
      <c r="E25" s="21">
        <f>'[5]cashflow.'!$U$28</f>
        <v>-230.72018999999818</v>
      </c>
      <c r="F25" s="21"/>
      <c r="G25" s="211">
        <f>'[7]Sheet2'!$U$32</f>
        <v>-874.8017599999988</v>
      </c>
      <c r="H25" s="21"/>
      <c r="I25" s="21">
        <v>-231</v>
      </c>
      <c r="J25" s="21">
        <f>'CF12.09'!D31/1000</f>
        <v>189.777</v>
      </c>
      <c r="K25" s="225"/>
      <c r="L25" s="19"/>
    </row>
    <row r="26" spans="2:12" s="51" customFormat="1" ht="14.25" customHeight="1">
      <c r="B26" s="229" t="s">
        <v>260</v>
      </c>
      <c r="C26" s="20"/>
      <c r="D26" s="20"/>
      <c r="E26" s="21"/>
      <c r="F26" s="21"/>
      <c r="G26" s="211">
        <f>'[7]Sheet2'!$U$33</f>
        <v>-1538.989</v>
      </c>
      <c r="H26" s="21"/>
      <c r="I26" s="21"/>
      <c r="J26" s="21"/>
      <c r="K26" s="225"/>
      <c r="L26" s="19"/>
    </row>
    <row r="27" spans="2:12" s="51" customFormat="1" ht="15" thickBot="1">
      <c r="B27" s="40" t="s">
        <v>265</v>
      </c>
      <c r="C27" s="20"/>
      <c r="D27" s="20"/>
      <c r="E27" s="22">
        <f>'[5]cashflow.'!$U$29</f>
        <v>-780.1700500000002</v>
      </c>
      <c r="F27" s="28"/>
      <c r="G27" s="214">
        <f>'[7]Sheet2'!$U$34</f>
        <v>-268.45048</v>
      </c>
      <c r="H27" s="28"/>
      <c r="I27" s="22">
        <v>-780</v>
      </c>
      <c r="J27" s="22">
        <f>'CF12.09'!D32/1000</f>
        <v>-271.731</v>
      </c>
      <c r="K27" s="225"/>
      <c r="L27" s="19"/>
    </row>
    <row r="28" spans="2:12" s="51" customFormat="1" ht="14.25">
      <c r="B28" s="230"/>
      <c r="C28" s="24"/>
      <c r="D28" s="24"/>
      <c r="E28" s="21"/>
      <c r="F28" s="21"/>
      <c r="G28" s="211"/>
      <c r="H28" s="21"/>
      <c r="I28" s="21"/>
      <c r="J28" s="21"/>
      <c r="K28" s="225"/>
      <c r="L28" s="19"/>
    </row>
    <row r="29" spans="2:12" s="51" customFormat="1" ht="14.25" customHeight="1">
      <c r="B29" s="228" t="s">
        <v>106</v>
      </c>
      <c r="C29" s="20"/>
      <c r="D29" s="20"/>
      <c r="E29" s="49">
        <f>'[5]cashflow.'!$U$32</f>
        <v>254.40860000000794</v>
      </c>
      <c r="F29" s="49"/>
      <c r="G29" s="213">
        <f>'[7]Sheet2'!$U$39-1</f>
        <v>-178.24102</v>
      </c>
      <c r="H29" s="21"/>
      <c r="I29" s="49">
        <f>SUM(I17:I27)</f>
        <v>644</v>
      </c>
      <c r="J29" s="49">
        <f>'CF12.09'!D34/1000</f>
        <v>14657.121</v>
      </c>
      <c r="K29" s="225"/>
      <c r="L29" s="19"/>
    </row>
    <row r="30" spans="2:12" s="51" customFormat="1" ht="14.25">
      <c r="B30" s="230"/>
      <c r="C30" s="24"/>
      <c r="D30" s="24"/>
      <c r="E30" s="21"/>
      <c r="F30" s="21"/>
      <c r="G30" s="211"/>
      <c r="H30" s="21"/>
      <c r="I30" s="21"/>
      <c r="J30" s="21"/>
      <c r="K30" s="225"/>
      <c r="L30" s="19"/>
    </row>
    <row r="31" spans="2:12" s="51" customFormat="1" ht="14.25" customHeight="1">
      <c r="B31" s="45" t="s">
        <v>9</v>
      </c>
      <c r="C31" s="18"/>
      <c r="D31" s="18"/>
      <c r="E31" s="21">
        <f>'[5]cashflow.'!$R$34</f>
        <v>-43</v>
      </c>
      <c r="F31" s="21"/>
      <c r="G31" s="211">
        <f>'[7]Sheet2'!$U$41</f>
        <v>-67.24367</v>
      </c>
      <c r="H31" s="21"/>
      <c r="I31" s="21">
        <v>-137</v>
      </c>
      <c r="J31" s="21">
        <f>'CF12.09'!D36/1000</f>
        <v>-134.101</v>
      </c>
      <c r="K31" s="225"/>
      <c r="L31" s="19"/>
    </row>
    <row r="32" spans="2:12" s="51" customFormat="1" ht="14.25">
      <c r="B32" s="45" t="s">
        <v>71</v>
      </c>
      <c r="C32" s="18"/>
      <c r="D32" s="18"/>
      <c r="E32" s="21">
        <f>'[5]cashflow.'!$R$35</f>
        <v>-832</v>
      </c>
      <c r="F32" s="21"/>
      <c r="G32" s="211">
        <f>'[7]Sheet2'!$U$43</f>
        <v>-206</v>
      </c>
      <c r="H32" s="28"/>
      <c r="I32" s="28">
        <v>-832</v>
      </c>
      <c r="J32" s="21">
        <f>'CF12.09'!D37/1000</f>
        <v>-3491.456</v>
      </c>
      <c r="K32" s="225"/>
      <c r="L32" s="19"/>
    </row>
    <row r="33" spans="2:12" s="51" customFormat="1" ht="15" thickBot="1">
      <c r="B33" s="45"/>
      <c r="C33" s="18"/>
      <c r="D33" s="18"/>
      <c r="E33" s="22"/>
      <c r="F33" s="28"/>
      <c r="G33" s="214"/>
      <c r="H33" s="21"/>
      <c r="I33" s="22"/>
      <c r="J33" s="22"/>
      <c r="K33" s="225"/>
      <c r="L33" s="19"/>
    </row>
    <row r="34" spans="2:12" s="51" customFormat="1" ht="15.75" thickBot="1">
      <c r="B34" s="231" t="s">
        <v>45</v>
      </c>
      <c r="C34" s="18"/>
      <c r="D34" s="18"/>
      <c r="E34" s="50">
        <f>'[5]cashflow.'!$U$37</f>
        <v>-620.5913999999921</v>
      </c>
      <c r="F34" s="115"/>
      <c r="G34" s="215">
        <f>SUM(G29:G33)</f>
        <v>-451.48469</v>
      </c>
      <c r="H34" s="28"/>
      <c r="I34" s="50">
        <f>SUM(I29:I33)</f>
        <v>-325</v>
      </c>
      <c r="J34" s="170">
        <f>'CF12.09'!D39/1000</f>
        <v>11031.564</v>
      </c>
      <c r="K34" s="225"/>
      <c r="L34" s="19"/>
    </row>
    <row r="35" spans="2:12" s="51" customFormat="1" ht="14.25">
      <c r="B35" s="45"/>
      <c r="C35" s="18"/>
      <c r="D35" s="18"/>
      <c r="E35" s="105"/>
      <c r="F35" s="105"/>
      <c r="G35" s="216"/>
      <c r="H35" s="105"/>
      <c r="I35" s="105"/>
      <c r="J35" s="105"/>
      <c r="K35" s="225"/>
      <c r="L35" s="19"/>
    </row>
    <row r="36" spans="2:12" s="51" customFormat="1" ht="14.25">
      <c r="B36" s="45"/>
      <c r="C36" s="19"/>
      <c r="D36" s="19"/>
      <c r="E36" s="21"/>
      <c r="F36" s="21"/>
      <c r="G36" s="211"/>
      <c r="H36" s="21"/>
      <c r="I36" s="21"/>
      <c r="J36" s="21"/>
      <c r="K36" s="225"/>
      <c r="L36" s="19"/>
    </row>
    <row r="37" spans="2:12" s="51" customFormat="1" ht="15" customHeight="1">
      <c r="B37" s="231" t="s">
        <v>72</v>
      </c>
      <c r="C37" s="25"/>
      <c r="D37" s="25"/>
      <c r="E37" s="21"/>
      <c r="F37" s="21"/>
      <c r="G37" s="211"/>
      <c r="H37" s="21"/>
      <c r="I37" s="21"/>
      <c r="J37" s="21"/>
      <c r="K37" s="226"/>
      <c r="L37" s="19"/>
    </row>
    <row r="38" spans="2:12" s="51" customFormat="1" ht="14.25">
      <c r="B38" s="42" t="s">
        <v>73</v>
      </c>
      <c r="C38" s="18"/>
      <c r="D38" s="18"/>
      <c r="E38" s="21">
        <f>'[5]cashflow.'!$U$41+'[5]cashflow.'!$U$42</f>
        <v>146</v>
      </c>
      <c r="F38" s="21"/>
      <c r="G38" s="211">
        <f>'[7]Sheet2'!$U$49</f>
        <v>60.82105</v>
      </c>
      <c r="H38" s="21"/>
      <c r="I38" s="21">
        <v>222</v>
      </c>
      <c r="J38" s="21">
        <f>'CF12.09'!D45/1000+'CF12.09'!D44/1000</f>
        <v>419.404</v>
      </c>
      <c r="K38" s="225"/>
      <c r="L38" s="19"/>
    </row>
    <row r="39" spans="2:12" s="51" customFormat="1" ht="14.25">
      <c r="B39" s="42" t="s">
        <v>261</v>
      </c>
      <c r="C39" s="18"/>
      <c r="D39" s="18"/>
      <c r="E39" s="21"/>
      <c r="F39" s="21"/>
      <c r="G39" s="211">
        <f>'[7]Sheet2'!$U$50</f>
        <v>135</v>
      </c>
      <c r="H39" s="21"/>
      <c r="I39" s="21">
        <v>0</v>
      </c>
      <c r="J39" s="21"/>
      <c r="K39" s="225"/>
      <c r="L39" s="19"/>
    </row>
    <row r="40" spans="2:12" s="51" customFormat="1" ht="14.25">
      <c r="B40" s="42" t="s">
        <v>91</v>
      </c>
      <c r="C40" s="19"/>
      <c r="D40" s="19"/>
      <c r="E40" s="21">
        <v>0</v>
      </c>
      <c r="F40" s="21"/>
      <c r="G40" s="211">
        <f>'[7]Sheet2'!$U$53</f>
        <v>-660.8211999999993</v>
      </c>
      <c r="H40" s="21"/>
      <c r="I40" s="21">
        <v>0</v>
      </c>
      <c r="J40" s="21">
        <f>'CF12.09'!D46/1000</f>
        <v>-500.682</v>
      </c>
      <c r="K40" s="225"/>
      <c r="L40" s="19"/>
    </row>
    <row r="41" spans="2:12" s="51" customFormat="1" ht="14.25">
      <c r="B41" s="42" t="s">
        <v>74</v>
      </c>
      <c r="C41" s="19"/>
      <c r="D41" s="19"/>
      <c r="E41" s="21">
        <f>'[5]cashflow.'!$U$45</f>
        <v>-1142</v>
      </c>
      <c r="F41" s="21"/>
      <c r="G41" s="211">
        <f>'[7]Sheet2'!$U$54</f>
        <v>-240.00294999999824</v>
      </c>
      <c r="H41" s="21"/>
      <c r="I41" s="21">
        <v>-1142</v>
      </c>
      <c r="J41" s="21">
        <f>'CF12.09'!D47/1000</f>
        <v>-11636.454</v>
      </c>
      <c r="K41" s="225"/>
      <c r="L41" s="19"/>
    </row>
    <row r="42" spans="2:12" s="51" customFormat="1" ht="15" thickBot="1">
      <c r="B42" s="45"/>
      <c r="C42" s="19"/>
      <c r="D42" s="19"/>
      <c r="E42" s="22"/>
      <c r="F42" s="28"/>
      <c r="G42" s="214"/>
      <c r="H42" s="28"/>
      <c r="I42" s="22"/>
      <c r="J42" s="22"/>
      <c r="K42" s="225"/>
      <c r="L42" s="19"/>
    </row>
    <row r="43" spans="2:13" s="51" customFormat="1" ht="15.75" thickBot="1">
      <c r="B43" s="45" t="s">
        <v>136</v>
      </c>
      <c r="C43" s="18"/>
      <c r="D43" s="18"/>
      <c r="E43" s="50">
        <f>'[5]cashflow.'!$U$48</f>
        <v>-996</v>
      </c>
      <c r="F43" s="115"/>
      <c r="G43" s="215">
        <f>SUM(G38:G42)</f>
        <v>-705.0030999999975</v>
      </c>
      <c r="H43" s="28"/>
      <c r="I43" s="50">
        <f>SUM(I38:I42)</f>
        <v>-920</v>
      </c>
      <c r="J43" s="50">
        <f>'CF12.09'!D49/1000</f>
        <v>3761.747</v>
      </c>
      <c r="K43" s="225"/>
      <c r="L43" s="19"/>
      <c r="M43" s="106"/>
    </row>
    <row r="44" spans="2:12" s="51" customFormat="1" ht="14.25">
      <c r="B44" s="230"/>
      <c r="C44" s="19"/>
      <c r="D44" s="19"/>
      <c r="E44" s="21"/>
      <c r="F44" s="21"/>
      <c r="G44" s="211"/>
      <c r="H44" s="21"/>
      <c r="I44" s="21"/>
      <c r="J44" s="21"/>
      <c r="K44" s="225"/>
      <c r="L44" s="19"/>
    </row>
    <row r="45" spans="2:12" s="51" customFormat="1" ht="15" customHeight="1">
      <c r="B45" s="231" t="s">
        <v>76</v>
      </c>
      <c r="C45" s="25"/>
      <c r="D45" s="25"/>
      <c r="E45" s="21"/>
      <c r="F45" s="21"/>
      <c r="G45" s="211"/>
      <c r="H45" s="21"/>
      <c r="I45" s="21"/>
      <c r="J45" s="21"/>
      <c r="K45" s="227"/>
      <c r="L45" s="18"/>
    </row>
    <row r="46" spans="2:12" s="51" customFormat="1" ht="14.25" customHeight="1" hidden="1">
      <c r="B46" s="229" t="s">
        <v>195</v>
      </c>
      <c r="C46" s="18"/>
      <c r="D46" s="18"/>
      <c r="E46" s="21">
        <v>0</v>
      </c>
      <c r="F46" s="21"/>
      <c r="G46" s="211">
        <v>0</v>
      </c>
      <c r="H46" s="21"/>
      <c r="I46" s="21">
        <v>0</v>
      </c>
      <c r="J46" s="21">
        <f>'CF12.09'!D53/1000</f>
        <v>13320</v>
      </c>
      <c r="K46" s="225"/>
      <c r="L46" s="19"/>
    </row>
    <row r="47" spans="2:12" s="51" customFormat="1" ht="14.25" customHeight="1" hidden="1">
      <c r="B47" s="229" t="s">
        <v>196</v>
      </c>
      <c r="C47" s="18"/>
      <c r="D47" s="18"/>
      <c r="E47" s="21">
        <f>'[5]cashflow.'!$U$55</f>
        <v>-161.806</v>
      </c>
      <c r="F47" s="21"/>
      <c r="G47" s="211">
        <v>0</v>
      </c>
      <c r="H47" s="21"/>
      <c r="I47" s="21">
        <v>0</v>
      </c>
      <c r="J47" s="21">
        <f>'CF12.09'!D54/1000</f>
        <v>1785.884</v>
      </c>
      <c r="K47" s="225"/>
      <c r="L47" s="19"/>
    </row>
    <row r="48" spans="2:12" s="51" customFormat="1" ht="14.25" customHeight="1">
      <c r="B48" s="229" t="s">
        <v>77</v>
      </c>
      <c r="C48" s="18"/>
      <c r="D48" s="18"/>
      <c r="E48" s="21">
        <f>'[5]cashflow.'!$U$52</f>
        <v>-6</v>
      </c>
      <c r="F48" s="21"/>
      <c r="G48" s="211">
        <f>'[7]Sheet2'!$U$61</f>
        <v>-4.472270000000001</v>
      </c>
      <c r="H48" s="21"/>
      <c r="I48" s="21">
        <v>-6</v>
      </c>
      <c r="J48" s="21">
        <f>'CF12.09'!D55/1000</f>
        <v>-9.886</v>
      </c>
      <c r="K48" s="225"/>
      <c r="L48" s="19"/>
    </row>
    <row r="49" spans="2:12" s="51" customFormat="1" ht="14.25" customHeight="1">
      <c r="B49" s="229" t="s">
        <v>197</v>
      </c>
      <c r="C49" s="18"/>
      <c r="D49" s="18"/>
      <c r="E49" s="21">
        <f>'[5]cashflow.'!$U$53</f>
        <v>-15</v>
      </c>
      <c r="F49" s="21"/>
      <c r="G49" s="211">
        <f>'[7]Sheet2'!$U$62</f>
        <v>-237.65965</v>
      </c>
      <c r="H49" s="21"/>
      <c r="I49" s="21">
        <v>-15</v>
      </c>
      <c r="J49" s="21">
        <f>'CF12.09'!D56/1000</f>
        <v>-26.016</v>
      </c>
      <c r="K49" s="225"/>
      <c r="L49" s="19"/>
    </row>
    <row r="50" spans="2:12" s="51" customFormat="1" ht="14.25" customHeight="1">
      <c r="B50" s="229" t="s">
        <v>78</v>
      </c>
      <c r="C50" s="18"/>
      <c r="D50" s="18"/>
      <c r="E50" s="21">
        <f>'[5]cashflow.'!$U$54</f>
        <v>-440</v>
      </c>
      <c r="F50" s="21"/>
      <c r="G50" s="211">
        <f>'[7]Sheet2'!$U$63</f>
        <v>-25</v>
      </c>
      <c r="H50" s="21"/>
      <c r="I50" s="21">
        <v>-34</v>
      </c>
      <c r="J50" s="21">
        <f>'CF12.09'!D57/1000</f>
        <v>-63.273</v>
      </c>
      <c r="K50" s="225"/>
      <c r="L50" s="19"/>
    </row>
    <row r="51" spans="2:12" s="51" customFormat="1" ht="14.25" customHeight="1">
      <c r="B51" s="229" t="s">
        <v>198</v>
      </c>
      <c r="C51" s="18"/>
      <c r="D51" s="18"/>
      <c r="E51" s="21">
        <v>0</v>
      </c>
      <c r="F51" s="21"/>
      <c r="G51" s="217">
        <f>'[7]Sheet2'!$U$69</f>
        <v>0</v>
      </c>
      <c r="H51" s="28"/>
      <c r="I51" s="28">
        <v>-363</v>
      </c>
      <c r="J51" s="21">
        <f>'CF12.09'!D58/1000</f>
        <v>-666.77</v>
      </c>
      <c r="K51" s="225"/>
      <c r="L51" s="19"/>
    </row>
    <row r="52" spans="2:12" s="51" customFormat="1" ht="14.25" customHeight="1">
      <c r="B52" s="229" t="s">
        <v>195</v>
      </c>
      <c r="C52" s="18"/>
      <c r="D52" s="18"/>
      <c r="E52" s="21">
        <v>0</v>
      </c>
      <c r="F52" s="21"/>
      <c r="G52" s="211">
        <f>'[7]Sheet2'!$U$65-31200</f>
        <v>0</v>
      </c>
      <c r="H52" s="28"/>
      <c r="I52" s="28">
        <v>0</v>
      </c>
      <c r="J52" s="21">
        <f>'CF12.09'!D59/1000</f>
        <v>-2520.424</v>
      </c>
      <c r="K52" s="225"/>
      <c r="L52" s="19"/>
    </row>
    <row r="53" spans="2:12" s="51" customFormat="1" ht="14.25" customHeight="1">
      <c r="B53" s="229" t="s">
        <v>268</v>
      </c>
      <c r="C53" s="18"/>
      <c r="D53" s="18"/>
      <c r="E53" s="21"/>
      <c r="F53" s="21"/>
      <c r="G53" s="211">
        <v>22988</v>
      </c>
      <c r="H53" s="28"/>
      <c r="I53" s="28">
        <v>0</v>
      </c>
      <c r="J53" s="21"/>
      <c r="K53" s="225"/>
      <c r="L53" s="19"/>
    </row>
    <row r="54" spans="2:12" s="51" customFormat="1" ht="14.25" customHeight="1">
      <c r="B54" s="229" t="s">
        <v>269</v>
      </c>
      <c r="C54" s="18"/>
      <c r="D54" s="18"/>
      <c r="E54" s="21"/>
      <c r="F54" s="21"/>
      <c r="G54" s="211">
        <v>31200</v>
      </c>
      <c r="H54" s="28"/>
      <c r="I54" s="28"/>
      <c r="J54" s="21"/>
      <c r="K54" s="225"/>
      <c r="L54" s="19"/>
    </row>
    <row r="55" spans="2:12" s="51" customFormat="1" ht="14.25" customHeight="1">
      <c r="B55" s="229" t="s">
        <v>238</v>
      </c>
      <c r="C55" s="18"/>
      <c r="D55" s="18"/>
      <c r="E55" s="21">
        <f>'[5]cashflow.'!$U$51</f>
        <v>-1007.242</v>
      </c>
      <c r="F55" s="21"/>
      <c r="G55" s="211">
        <f>'[7]Sheet2'!$U$60-1+2</f>
        <v>1004</v>
      </c>
      <c r="H55" s="28"/>
      <c r="I55" s="28">
        <v>-1066</v>
      </c>
      <c r="J55" s="21">
        <f>'CF12.09'!D60/1000</f>
        <v>-2812.839</v>
      </c>
      <c r="K55" s="225"/>
      <c r="L55" s="19"/>
    </row>
    <row r="56" spans="2:12" s="51" customFormat="1" ht="14.25" customHeight="1">
      <c r="B56" s="229" t="s">
        <v>239</v>
      </c>
      <c r="C56" s="18"/>
      <c r="D56" s="18"/>
      <c r="E56" s="21"/>
      <c r="F56" s="21"/>
      <c r="G56" s="211">
        <f>'[7]Sheet2'!$U$64</f>
        <v>-1436.3525</v>
      </c>
      <c r="H56" s="28"/>
      <c r="I56" s="28">
        <v>-162</v>
      </c>
      <c r="J56" s="21"/>
      <c r="K56" s="225"/>
      <c r="L56" s="19"/>
    </row>
    <row r="57" spans="2:12" s="51" customFormat="1" ht="14.25" customHeight="1" thickBot="1">
      <c r="B57" s="229" t="s">
        <v>231</v>
      </c>
      <c r="C57" s="18"/>
      <c r="D57" s="18"/>
      <c r="E57" s="22"/>
      <c r="F57" s="28"/>
      <c r="G57" s="214">
        <f>'[7]Sheet2'!$U$67</f>
        <v>0</v>
      </c>
      <c r="H57" s="28"/>
      <c r="I57" s="22">
        <v>0</v>
      </c>
      <c r="J57" s="22"/>
      <c r="K57" s="225"/>
      <c r="L57" s="19"/>
    </row>
    <row r="58" spans="2:12" s="51" customFormat="1" ht="18" customHeight="1" thickBot="1">
      <c r="B58" s="232"/>
      <c r="C58" s="20"/>
      <c r="D58" s="20"/>
      <c r="E58" s="53">
        <f>'[5]cashflow.'!$U$63</f>
        <v>-1267.048</v>
      </c>
      <c r="F58" s="187"/>
      <c r="G58" s="218">
        <f>SUM(G46:G57)</f>
        <v>53488.51558</v>
      </c>
      <c r="H58" s="28"/>
      <c r="I58" s="50">
        <f>SUM(I46:I57)</f>
        <v>-1646</v>
      </c>
      <c r="J58" s="50">
        <f>'CF12.09'!D63/1000</f>
        <v>4006.676</v>
      </c>
      <c r="K58" s="225"/>
      <c r="L58" s="19"/>
    </row>
    <row r="59" spans="2:12" s="51" customFormat="1" ht="14.25">
      <c r="B59" s="45"/>
      <c r="C59" s="18"/>
      <c r="D59" s="18"/>
      <c r="E59" s="105"/>
      <c r="F59" s="105"/>
      <c r="G59" s="216"/>
      <c r="H59" s="28"/>
      <c r="I59" s="28"/>
      <c r="J59" s="105"/>
      <c r="K59" s="225"/>
      <c r="L59" s="19"/>
    </row>
    <row r="60" spans="2:12" s="51" customFormat="1" ht="14.25" customHeight="1">
      <c r="B60" s="231" t="s">
        <v>147</v>
      </c>
      <c r="C60" s="18"/>
      <c r="D60" s="18"/>
      <c r="E60" s="21">
        <f>'[5]cashflow.'!$U$65</f>
        <v>-2883.639399999992</v>
      </c>
      <c r="F60" s="21"/>
      <c r="G60" s="211">
        <f>G34+G43+G58+1</f>
        <v>52333.02779</v>
      </c>
      <c r="H60" s="28"/>
      <c r="I60" s="28">
        <f>I34+I43+I58</f>
        <v>-2891</v>
      </c>
      <c r="J60" s="21">
        <f>'CF12.09'!D65/1000</f>
        <v>18799.987</v>
      </c>
      <c r="K60" s="28"/>
      <c r="L60" s="19"/>
    </row>
    <row r="61" spans="2:12" s="51" customFormat="1" ht="14.25">
      <c r="B61" s="229"/>
      <c r="C61" s="19"/>
      <c r="D61" s="19"/>
      <c r="E61" s="21"/>
      <c r="F61" s="21"/>
      <c r="G61" s="211"/>
      <c r="H61" s="28"/>
      <c r="I61" s="28"/>
      <c r="J61" s="21"/>
      <c r="K61" s="225"/>
      <c r="L61" s="19"/>
    </row>
    <row r="62" spans="2:12" s="51" customFormat="1" ht="14.25" customHeight="1" thickBot="1">
      <c r="B62" s="254" t="s">
        <v>101</v>
      </c>
      <c r="C62" s="20"/>
      <c r="D62" s="20"/>
      <c r="E62" s="22">
        <f>'[5]cashflow.'!$U$67</f>
        <v>18800</v>
      </c>
      <c r="F62" s="28"/>
      <c r="G62" s="214">
        <f>'[7]Sheet2'!$U$76</f>
        <v>20570.722</v>
      </c>
      <c r="H62" s="28"/>
      <c r="I62" s="22">
        <v>0</v>
      </c>
      <c r="J62" s="22">
        <f>'CF12.09'!D68/1000</f>
        <v>0.002</v>
      </c>
      <c r="K62" s="225"/>
      <c r="L62" s="19"/>
    </row>
    <row r="63" spans="2:12" s="51" customFormat="1" ht="14.25">
      <c r="B63" s="254"/>
      <c r="C63" s="20"/>
      <c r="D63" s="20"/>
      <c r="E63" s="105"/>
      <c r="F63" s="105"/>
      <c r="G63" s="216"/>
      <c r="H63" s="28"/>
      <c r="I63" s="28"/>
      <c r="J63" s="105"/>
      <c r="K63" s="225"/>
      <c r="L63" s="19"/>
    </row>
    <row r="64" spans="2:12" s="51" customFormat="1" ht="15.75" thickBot="1">
      <c r="B64" s="254" t="s">
        <v>137</v>
      </c>
      <c r="C64" s="20"/>
      <c r="D64" s="19"/>
      <c r="E64" s="114">
        <f>'[5]cashflow.'!$U$69</f>
        <v>15916.360600000007</v>
      </c>
      <c r="F64" s="115"/>
      <c r="G64" s="219">
        <f>SUM(G60:G62)</f>
        <v>72903.74979</v>
      </c>
      <c r="H64" s="115"/>
      <c r="I64" s="114">
        <f>SUM(I60:I62)</f>
        <v>-2891</v>
      </c>
      <c r="J64" s="114">
        <f>'CF12.09'!D70/1000</f>
        <v>18799.989</v>
      </c>
      <c r="K64" s="225"/>
      <c r="L64" s="19"/>
    </row>
    <row r="65" spans="2:11" s="51" customFormat="1" ht="15" thickTop="1">
      <c r="B65" s="254"/>
      <c r="G65" s="205"/>
      <c r="H65" s="28"/>
      <c r="I65" s="28"/>
      <c r="K65" s="199"/>
    </row>
    <row r="66" spans="2:11" s="51" customFormat="1" ht="14.25">
      <c r="B66" s="12"/>
      <c r="G66" s="205"/>
      <c r="H66" s="28"/>
      <c r="I66" s="28"/>
      <c r="K66" s="199"/>
    </row>
    <row r="67" spans="2:11" s="51" customFormat="1" ht="14.25">
      <c r="B67" s="2" t="s">
        <v>97</v>
      </c>
      <c r="G67" s="205"/>
      <c r="H67" s="28"/>
      <c r="I67" s="28"/>
      <c r="K67" s="199"/>
    </row>
    <row r="68" spans="2:11" s="51" customFormat="1" ht="14.25">
      <c r="B68" s="12" t="s">
        <v>82</v>
      </c>
      <c r="E68" s="105">
        <f>'[5]cashflow.'!$N$75</f>
        <v>29350</v>
      </c>
      <c r="F68" s="105"/>
      <c r="G68" s="216">
        <f>'[7]Sheet2'!$U$84+19259-1</f>
        <v>31225.801199999998</v>
      </c>
      <c r="H68" s="28"/>
      <c r="I68" s="28">
        <v>29350</v>
      </c>
      <c r="J68" s="21">
        <f>'CF12.09'!D83/1000+'CF12.09'!D85/1000</f>
        <v>28249.176</v>
      </c>
      <c r="K68" s="199"/>
    </row>
    <row r="69" spans="2:11" s="51" customFormat="1" ht="14.25">
      <c r="B69" s="12" t="s">
        <v>83</v>
      </c>
      <c r="E69" s="105">
        <f>'[5]cashflow.'!$N$76</f>
        <v>3944</v>
      </c>
      <c r="F69" s="105"/>
      <c r="G69" s="216">
        <f>'[7]Sheet2'!$U$85</f>
        <v>58375</v>
      </c>
      <c r="H69" s="28"/>
      <c r="I69" s="28">
        <v>3944</v>
      </c>
      <c r="J69" s="21">
        <f>'CF12.09'!D86/1000</f>
        <v>3199.333</v>
      </c>
      <c r="K69" s="199"/>
    </row>
    <row r="70" spans="2:11" s="51" customFormat="1" ht="15" thickBot="1">
      <c r="B70" s="12" t="s">
        <v>84</v>
      </c>
      <c r="E70" s="127">
        <f>'[5]cashflow.'!$N$77</f>
        <v>-8541</v>
      </c>
      <c r="F70" s="188"/>
      <c r="G70" s="220">
        <f>'[7]Sheet2'!$U$86</f>
        <v>-4730.3895999999995</v>
      </c>
      <c r="I70" s="198">
        <v>-8541</v>
      </c>
      <c r="J70" s="22">
        <f>'CF12.09'!D87/1000</f>
        <v>-3959.186</v>
      </c>
      <c r="K70" s="199"/>
    </row>
    <row r="71" spans="2:11" s="51" customFormat="1" ht="14.25">
      <c r="B71" s="12"/>
      <c r="E71" s="105">
        <f>'[5]cashflow.'!$N$78</f>
        <v>24753</v>
      </c>
      <c r="F71" s="105"/>
      <c r="G71" s="216">
        <f>SUM(G68:G70)+1</f>
        <v>84871.4116</v>
      </c>
      <c r="I71" s="105">
        <f>SUM(I68:I70)</f>
        <v>24753</v>
      </c>
      <c r="J71" s="21">
        <f>'CF12.09'!D89/1000</f>
        <v>27489.323</v>
      </c>
      <c r="K71" s="199"/>
    </row>
    <row r="72" spans="2:11" s="51" customFormat="1" ht="14.25">
      <c r="B72" s="43" t="s">
        <v>140</v>
      </c>
      <c r="C72" s="107"/>
      <c r="E72" s="105">
        <f>'[5]cashflow.'!$N$79</f>
        <v>-8843</v>
      </c>
      <c r="F72" s="105"/>
      <c r="G72" s="216">
        <f>'[7]Sheet2'!$U$88+1</f>
        <v>-11966.801199999998</v>
      </c>
      <c r="I72" s="199">
        <v>-8843</v>
      </c>
      <c r="J72" s="21">
        <f>'CF12.09'!D91/1000</f>
        <v>-8689.334</v>
      </c>
      <c r="K72" s="199"/>
    </row>
    <row r="73" spans="2:11" s="51" customFormat="1" ht="15.75" thickBot="1">
      <c r="B73" s="12"/>
      <c r="E73" s="116">
        <f>'[5]cashflow.'!$N$80</f>
        <v>15910</v>
      </c>
      <c r="F73" s="189"/>
      <c r="G73" s="221">
        <f>SUM(G71:G72)-1</f>
        <v>72903.6104</v>
      </c>
      <c r="H73" s="115"/>
      <c r="I73" s="197">
        <f>SUM(I71:I72)</f>
        <v>15910</v>
      </c>
      <c r="J73" s="180">
        <f>'CF12.09'!D93/1000</f>
        <v>18799.989</v>
      </c>
      <c r="K73" s="199"/>
    </row>
    <row r="74" spans="7:11" s="51" customFormat="1" ht="15" thickTop="1">
      <c r="G74" s="224"/>
      <c r="H74" s="28"/>
      <c r="I74" s="28"/>
      <c r="K74" s="199"/>
    </row>
    <row r="75" spans="2:9" s="51" customFormat="1" ht="14.25" hidden="1">
      <c r="B75" s="51" t="s">
        <v>126</v>
      </c>
      <c r="E75" s="106"/>
      <c r="F75" s="106"/>
      <c r="G75" s="222"/>
      <c r="H75" s="28"/>
      <c r="I75" s="28"/>
    </row>
    <row r="76" s="51" customFormat="1" ht="12.75" customHeight="1">
      <c r="G76" s="205"/>
    </row>
    <row r="77" spans="2:7" s="51" customFormat="1" ht="16.5">
      <c r="B77" s="128" t="s">
        <v>230</v>
      </c>
      <c r="G77" s="205"/>
    </row>
    <row r="78" spans="2:7" s="51" customFormat="1" ht="16.5">
      <c r="B78" s="128" t="s">
        <v>257</v>
      </c>
      <c r="G78" s="205"/>
    </row>
    <row r="79" spans="2:7" s="51" customFormat="1" ht="16.5">
      <c r="B79" s="196" t="s">
        <v>100</v>
      </c>
      <c r="G79" s="205"/>
    </row>
  </sheetData>
  <sheetProtection/>
  <mergeCells count="6">
    <mergeCell ref="B62:B63"/>
    <mergeCell ref="B64:B65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Simon Lee</cp:lastModifiedBy>
  <cp:lastPrinted>2011-05-25T04:45:25Z</cp:lastPrinted>
  <dcterms:created xsi:type="dcterms:W3CDTF">2002-11-05T00:02:16Z</dcterms:created>
  <dcterms:modified xsi:type="dcterms:W3CDTF">2011-05-26T01:13:48Z</dcterms:modified>
  <cp:category/>
  <cp:version/>
  <cp:contentType/>
  <cp:contentStatus/>
</cp:coreProperties>
</file>